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SP" sheetId="1" r:id="rId1"/>
    <sheet name="Pb" sheetId="2" r:id="rId2"/>
    <sheet name="CO" sheetId="3" r:id="rId3"/>
    <sheet name="SO2" sheetId="4" r:id="rId4"/>
    <sheet name="NO2" sheetId="5" r:id="rId5"/>
    <sheet name="O3" sheetId="6" r:id="rId6"/>
    <sheet name="PM10" sheetId="7" r:id="rId7"/>
    <sheet name="PM2.5" sheetId="8" r:id="rId8"/>
    <sheet name="Rain" sheetId="9" r:id="rId9"/>
  </sheets>
  <definedNames>
    <definedName name="_xlnm.Print_Area" localSheetId="7">'PM2.5'!$A$1:$M$32</definedName>
  </definedNames>
  <calcPr fullCalcOnLoad="1"/>
</workbook>
</file>

<file path=xl/sharedStrings.xml><?xml version="1.0" encoding="utf-8"?>
<sst xmlns="http://schemas.openxmlformats.org/spreadsheetml/2006/main" count="873" uniqueCount="306">
  <si>
    <t>SITE ID</t>
  </si>
  <si>
    <t>CITY</t>
  </si>
  <si>
    <t>COUNTY</t>
  </si>
  <si>
    <t>1ST</t>
  </si>
  <si>
    <t>2ND</t>
  </si>
  <si>
    <t>MEAN</t>
  </si>
  <si>
    <t>45-003-1001</t>
  </si>
  <si>
    <t>AIKEN</t>
  </si>
  <si>
    <t>BEECH ISLAND FIRE STATION</t>
  </si>
  <si>
    <t>38?</t>
  </si>
  <si>
    <t>45-013-0001</t>
  </si>
  <si>
    <t>BEAUFORT</t>
  </si>
  <si>
    <t>28?</t>
  </si>
  <si>
    <t>45-013-0007</t>
  </si>
  <si>
    <t>BEAUFORT KING STREET</t>
  </si>
  <si>
    <t>21?</t>
  </si>
  <si>
    <t>18?</t>
  </si>
  <si>
    <t>45-019-0003</t>
  </si>
  <si>
    <t>CHARLESTON</t>
  </si>
  <si>
    <t>JENKINS AV. FIRE STATION</t>
  </si>
  <si>
    <t>45-019-0046</t>
  </si>
  <si>
    <t>CAPE ROMAIN WILDLIFE REFUGE</t>
  </si>
  <si>
    <t>45-019-0047</t>
  </si>
  <si>
    <t>30?</t>
  </si>
  <si>
    <t>27?</t>
  </si>
  <si>
    <t>45-033-0001</t>
  </si>
  <si>
    <t>DILLON</t>
  </si>
  <si>
    <t>45-041-0001</t>
  </si>
  <si>
    <t>FLORENCE</t>
  </si>
  <si>
    <t>FLORENCE COUNTY HEALTH DEPT</t>
  </si>
  <si>
    <t>45-043-0002</t>
  </si>
  <si>
    <t>GEORGETOWN</t>
  </si>
  <si>
    <t>HOWARD HIGH SCHOOL</t>
  </si>
  <si>
    <t>45-043-0006</t>
  </si>
  <si>
    <t>GEORGETOWN CMS</t>
  </si>
  <si>
    <t>31?</t>
  </si>
  <si>
    <t>45-043-0007</t>
  </si>
  <si>
    <t>MARYVILLE POWER SUB STATION</t>
  </si>
  <si>
    <t>45-043-0009</t>
  </si>
  <si>
    <t>WINYAH</t>
  </si>
  <si>
    <t>45-045-0008</t>
  </si>
  <si>
    <t>GREENVILLE</t>
  </si>
  <si>
    <t>GREENVILLE HEALTH DEPT</t>
  </si>
  <si>
    <t>32?</t>
  </si>
  <si>
    <t>45-045-2002</t>
  </si>
  <si>
    <t>GREER</t>
  </si>
  <si>
    <t>45-047-0001</t>
  </si>
  <si>
    <t>GREENWOOD</t>
  </si>
  <si>
    <t>GREENWOOD COUNTY DSS</t>
  </si>
  <si>
    <t>45-047-0002</t>
  </si>
  <si>
    <t>45-049-0001</t>
  </si>
  <si>
    <t>HAMPTON</t>
  </si>
  <si>
    <t>HAMPTON I</t>
  </si>
  <si>
    <t>37?</t>
  </si>
  <si>
    <t>45-051-0002</t>
  </si>
  <si>
    <t>MYRTLE BEACH</t>
  </si>
  <si>
    <t>HORRY</t>
  </si>
  <si>
    <t>MYRTLE BEACH EQC OFFICE</t>
  </si>
  <si>
    <t>45-055-0001</t>
  </si>
  <si>
    <t>CAMDEN</t>
  </si>
  <si>
    <t>KERSHAW</t>
  </si>
  <si>
    <t>KERSHAW COUNTY HEALTH DEPT.</t>
  </si>
  <si>
    <t>45-063-0005</t>
  </si>
  <si>
    <t>LEXINGTON</t>
  </si>
  <si>
    <t>26?</t>
  </si>
  <si>
    <t>45-063-1002</t>
  </si>
  <si>
    <t>CAYCE</t>
  </si>
  <si>
    <t>CAYCE FIRE STATION</t>
  </si>
  <si>
    <t>45-079-0006</t>
  </si>
  <si>
    <t>COLUMBIA</t>
  </si>
  <si>
    <t>RICHLAND</t>
  </si>
  <si>
    <t>45-079-0007</t>
  </si>
  <si>
    <t>45-079-0014</t>
  </si>
  <si>
    <t>45-079-1006</t>
  </si>
  <si>
    <t>45-083-0001</t>
  </si>
  <si>
    <t>SPARTANBURG</t>
  </si>
  <si>
    <t>SPARTANBURG CITY HALL</t>
  </si>
  <si>
    <t>45-091-0005</t>
  </si>
  <si>
    <t>ROCK HILL</t>
  </si>
  <si>
    <t>YORK</t>
  </si>
  <si>
    <t>MAXIMUM 24-HR VALUES</t>
  </si>
  <si>
    <t>SITE NAME</t>
  </si>
  <si>
    <t>UTM-N</t>
  </si>
  <si>
    <t>UTM-E</t>
  </si>
  <si>
    <t>ROCK HILL WATER FILTER PLANT</t>
  </si>
  <si>
    <t>CONGAREE SWAMP NATIONAL MONUMENT</t>
  </si>
  <si>
    <t>1ST BAPTIST CHURCH ANNEX</t>
  </si>
  <si>
    <t xml:space="preserve">U S NAVAL BASE </t>
  </si>
  <si>
    <t>BEAUFORT COUNTY HEALTH DEPARTMENT</t>
  </si>
  <si>
    <t>Total Suspended Particulate(TSP) - Ug/M3</t>
  </si>
  <si>
    <t>[Air quality standard = 75 Ug/M3 Annual Geom. Mean]</t>
  </si>
  <si>
    <t>45-019-0005</t>
  </si>
  <si>
    <t>ASHE STREET</t>
  </si>
  <si>
    <t>45-079-0013</t>
  </si>
  <si>
    <t>45-079-0020</t>
  </si>
  <si>
    <t>45-003-0003</t>
  </si>
  <si>
    <t>45-011-0001</t>
  </si>
  <si>
    <t>BARNWELL</t>
  </si>
  <si>
    <t>45-063-0008</t>
  </si>
  <si>
    <t>IRMO</t>
  </si>
  <si>
    <t>45-073-0001</t>
  </si>
  <si>
    <t>OCONEE</t>
  </si>
  <si>
    <t>45-079-1003</t>
  </si>
  <si>
    <t>JACKSON MIDDLE SCHOOL</t>
  </si>
  <si>
    <t>45-001-0001</t>
  </si>
  <si>
    <t>ABBEVILLE</t>
  </si>
  <si>
    <t>DUE WEST</t>
  </si>
  <si>
    <t>45-007-0003</t>
  </si>
  <si>
    <t>ANDERSON</t>
  </si>
  <si>
    <t>POWDERSVILLE</t>
  </si>
  <si>
    <t>45-015-0002</t>
  </si>
  <si>
    <t>BERKELEY</t>
  </si>
  <si>
    <t>BUSHY PARK PUMP</t>
  </si>
  <si>
    <t>45-019-0042</t>
  </si>
  <si>
    <t>U S ARMY RESERVE</t>
  </si>
  <si>
    <t>45-021-0002</t>
  </si>
  <si>
    <t>CHEROKEE</t>
  </si>
  <si>
    <t>45-023-0002</t>
  </si>
  <si>
    <t>CHESTER</t>
  </si>
  <si>
    <t>CHESTER AIRPORT</t>
  </si>
  <si>
    <t>45-029-0002</t>
  </si>
  <si>
    <t>COLLETON</t>
  </si>
  <si>
    <t>ASHTON</t>
  </si>
  <si>
    <t>45-031-0003</t>
  </si>
  <si>
    <t>DARLINGTON</t>
  </si>
  <si>
    <t>45-037-0001</t>
  </si>
  <si>
    <t>EDGEFIELD</t>
  </si>
  <si>
    <t>TRENTON</t>
  </si>
  <si>
    <t>45-077-0002</t>
  </si>
  <si>
    <t>CLEMSON</t>
  </si>
  <si>
    <t>PICKENS</t>
  </si>
  <si>
    <t>45-079-1002</t>
  </si>
  <si>
    <t>45-083-0009</t>
  </si>
  <si>
    <t>45-087-0001</t>
  </si>
  <si>
    <t>UNION</t>
  </si>
  <si>
    <t>DELTA</t>
  </si>
  <si>
    <t>45-089-0001</t>
  </si>
  <si>
    <t>INDIANTOWN</t>
  </si>
  <si>
    <t>45-091-0006</t>
  </si>
  <si>
    <t>WTD</t>
  </si>
  <si>
    <t>ARITH</t>
  </si>
  <si>
    <t>45-039-8001</t>
  </si>
  <si>
    <t>FAIRFIELD</t>
  </si>
  <si>
    <t>RIDGEWAY #1</t>
  </si>
  <si>
    <t>45-039-8002</t>
  </si>
  <si>
    <t>RIDGEWAY #2</t>
  </si>
  <si>
    <t>29?</t>
  </si>
  <si>
    <t>19?</t>
  </si>
  <si>
    <t>CAYCE CMS</t>
  </si>
  <si>
    <t>55?</t>
  </si>
  <si>
    <t>OLYMPIA</t>
  </si>
  <si>
    <t>40?</t>
  </si>
  <si>
    <t>45-079-0019</t>
  </si>
  <si>
    <t>BATES HOUSE (USC)</t>
  </si>
  <si>
    <t>SCDHEC PARKING LOT</t>
  </si>
  <si>
    <t>22?</t>
  </si>
  <si>
    <t>45-019-0048</t>
  </si>
  <si>
    <t>45-019-0049</t>
  </si>
  <si>
    <t>45-041-0002</t>
  </si>
  <si>
    <t>45-045-0009</t>
  </si>
  <si>
    <t>TAYLORS</t>
  </si>
  <si>
    <t>45-047-0003</t>
  </si>
  <si>
    <t>MERRYWOOD SCHOOL</t>
  </si>
  <si>
    <t>ROEBUCK - PECAN</t>
  </si>
  <si>
    <t>45-083-0010</t>
  </si>
  <si>
    <t>OBSV.</t>
  </si>
  <si>
    <t>1ST QUARTER</t>
  </si>
  <si>
    <t>2ND QUARTER</t>
  </si>
  <si>
    <t>3RD QUARTER</t>
  </si>
  <si>
    <t>4TH QUARTER</t>
  </si>
  <si>
    <t>PARKLANE - STATE PARK HEALTH CTR.</t>
  </si>
  <si>
    <t>BEAUFORT COUNTY HEALTH DEPT.</t>
  </si>
  <si>
    <t>FLORENCE COUNTY HEALTH DEPT.</t>
  </si>
  <si>
    <t>GREENVILLE HEALTH DEPT.</t>
  </si>
  <si>
    <t>GREENWOOD COUNTY DEPT.</t>
  </si>
  <si>
    <t>Lead (PB) - Ug/M3</t>
  </si>
  <si>
    <t>OBS&gt; 35</t>
  </si>
  <si>
    <t>OBS&gt; 9</t>
  </si>
  <si>
    <t>MAX 1-HR</t>
  </si>
  <si>
    <t>MAX 8-HR</t>
  </si>
  <si>
    <t>Carbon Monoxide (CO)  -  PPM</t>
  </si>
  <si>
    <t>[Air quality standard = 35 PPM 1hr Max, 9 PPM 8hr Max}</t>
  </si>
  <si>
    <t>NORTH CHARLESTON</t>
  </si>
  <si>
    <t xml:space="preserve">BARNWELL CMS </t>
  </si>
  <si>
    <t>45-019-0046*</t>
  </si>
  <si>
    <t>SEVEN OAKS RECREATIONAL CTR.</t>
  </si>
  <si>
    <t>MAX 1HR</t>
  </si>
  <si>
    <t xml:space="preserve">MEAN </t>
  </si>
  <si>
    <t>MAX 3HR</t>
  </si>
  <si>
    <t>OBS&gt; 0.50</t>
  </si>
  <si>
    <t>OBS&gt; 0.14</t>
  </si>
  <si>
    <t>MAX 24HR</t>
  </si>
  <si>
    <t>OBSV</t>
  </si>
  <si>
    <t>0.003?</t>
  </si>
  <si>
    <t>0.002?</t>
  </si>
  <si>
    <t>Sulfur Dioxide (SO2) - PPM</t>
  </si>
  <si>
    <t>[Air quality standard = .03 PPM Annual, .139 PPM 24hr, .494 PPM 3hr]</t>
  </si>
  <si>
    <t>PARKLANE - STATE PARK HEALTH CTR</t>
  </si>
  <si>
    <t>Nitrogen Dioxide (NO2) - PPM</t>
  </si>
  <si>
    <t>[Air quality standard = .053 PPM Annual Mean]</t>
  </si>
  <si>
    <t>COWPENS NATIONAL BATTLE GROUND</t>
  </si>
  <si>
    <t>PEE DEE EXP. STATION</t>
  </si>
  <si>
    <t>ROUND MT. FIRE TOWER (LONG CREEK)</t>
  </si>
  <si>
    <t xml:space="preserve">CLEMSON CMS  </t>
  </si>
  <si>
    <t>SANDHILL</t>
  </si>
  <si>
    <t>NORTH SPARTANBURG FIRE STATION</t>
  </si>
  <si>
    <t>YORK CMS</t>
  </si>
  <si>
    <t>WILLIAMSBURG</t>
  </si>
  <si>
    <t>Ozone (O3) - PPM</t>
  </si>
  <si>
    <t>[Air quality standard = .125 PPM 1hr Daily Max]</t>
  </si>
  <si>
    <t>OBS&gt; 150</t>
  </si>
  <si>
    <t>1ST MAX</t>
  </si>
  <si>
    <t>2ND MAX</t>
  </si>
  <si>
    <t>3RD MAX</t>
  </si>
  <si>
    <t>4TH MAX</t>
  </si>
  <si>
    <t>* CONTINUOUS MONITOR</t>
  </si>
  <si>
    <t>U S NAVAL BASE</t>
  </si>
  <si>
    <t xml:space="preserve">PARKER FIRE STATION </t>
  </si>
  <si>
    <t>45-063-0005*</t>
  </si>
  <si>
    <t>45-045-1002*</t>
  </si>
  <si>
    <t>45-043-0006*</t>
  </si>
  <si>
    <t>45-019-0003*</t>
  </si>
  <si>
    <t>45-079-0018*</t>
  </si>
  <si>
    <t>45-063-0009*</t>
  </si>
  <si>
    <t>Particulate Matter (PM10) - Ug/M3</t>
  </si>
  <si>
    <t>[Air quality standard = 50 Ug/M3 Annual Mean, 150 Ug/M3 24hr]</t>
  </si>
  <si>
    <t>CHARLESTON FAA BEACON</t>
  </si>
  <si>
    <t>CHARLESTON PUBLIC WORKS</t>
  </si>
  <si>
    <t>H L SNEED MIDDLE SCHOOL</t>
  </si>
  <si>
    <t>SEVEN OAKS RECREATIONAL CTR</t>
  </si>
  <si>
    <t>WEST VIEW ELEMETARY SCHOOL</t>
  </si>
  <si>
    <t>EXCEPTIONAL EVENT DATA EXISTS IN AT LEAST ONE OF THE ABOVE SITES, BUT IS NOT INCLUDED IN THE SUMMARY CALCULATIONS.</t>
  </si>
  <si>
    <t>45-083-0009*</t>
  </si>
  <si>
    <t>[Air quality standard = 15 Ug/M3 Annual Mean, 65 Ug/M3 24hr]</t>
  </si>
  <si>
    <t>Particulate Matter (PM2.5) - Ug/M3</t>
  </si>
  <si>
    <t>OBS&gt; 65</t>
  </si>
  <si>
    <t>ANNUAL</t>
  </si>
  <si>
    <t xml:space="preserve">  1ST  </t>
  </si>
  <si>
    <t xml:space="preserve">  2ND  </t>
  </si>
  <si>
    <t xml:space="preserve">  3RD  </t>
  </si>
  <si>
    <t xml:space="preserve">  4TH  </t>
  </si>
  <si>
    <t xml:space="preserve">GEOM. </t>
  </si>
  <si>
    <t xml:space="preserve"> OBSV </t>
  </si>
  <si>
    <t>PARKLANE</t>
  </si>
  <si>
    <t>ENRIGHT (REX) ATHLETIC CENTER</t>
  </si>
  <si>
    <t xml:space="preserve">SALTECH </t>
  </si>
  <si>
    <t>PREMIER ROAD</t>
  </si>
  <si>
    <t>? INDICATES THAT THE MEAN DOES NOT SATISFY SUMMARY CRITERIA</t>
  </si>
  <si>
    <t xml:space="preserve">PARKLANE </t>
  </si>
  <si>
    <t>SALTECH</t>
  </si>
  <si>
    <t>SC DEPT. PROBATION, PAROLE</t>
  </si>
  <si>
    <t>DILLON CITY-COUNTY OFFICE BLDG.</t>
  </si>
  <si>
    <t>*SITE MOVED IN 1999</t>
  </si>
  <si>
    <t xml:space="preserve">45-029-0002* </t>
  </si>
  <si>
    <t>45-037-0001*</t>
  </si>
  <si>
    <t xml:space="preserve">TAYLORS </t>
  </si>
  <si>
    <t>13.5?</t>
  </si>
  <si>
    <t>12.8?</t>
  </si>
  <si>
    <t>14.0?</t>
  </si>
  <si>
    <t>13.2?</t>
  </si>
  <si>
    <t>15.2?</t>
  </si>
  <si>
    <t>14.4?</t>
  </si>
  <si>
    <t>14.5?</t>
  </si>
  <si>
    <t>18.7?</t>
  </si>
  <si>
    <t>24.1?</t>
  </si>
  <si>
    <t>17.6?</t>
  </si>
  <si>
    <t>14.2?</t>
  </si>
  <si>
    <t>45-083-0008*</t>
  </si>
  <si>
    <t xml:space="preserve">MEAN. </t>
  </si>
  <si>
    <t>WARDLAW *</t>
  </si>
  <si>
    <t>STATE HOSPITAL *</t>
  </si>
  <si>
    <t>*PARTIAL YEAR - WARDLAW site discontinued and moved to new STATE HOSPITAL site</t>
  </si>
  <si>
    <t>%</t>
  </si>
  <si>
    <t>Complete</t>
  </si>
  <si>
    <t>% COMPLETE</t>
  </si>
  <si>
    <t>ANNUAL AVERAGE =&gt;</t>
  </si>
  <si>
    <t>Acid Rain</t>
  </si>
  <si>
    <t>Annual Average Weighted pH</t>
  </si>
  <si>
    <t xml:space="preserve"> OBSV. </t>
  </si>
  <si>
    <t>[Air quality standard = .085 PPM 8hr Daily Average Max]</t>
  </si>
  <si>
    <t>MAX 8HR</t>
  </si>
  <si>
    <t>OBS&gt; .084</t>
  </si>
  <si>
    <t>OBS&gt; .124</t>
  </si>
  <si>
    <t xml:space="preserve"> 1985 </t>
  </si>
  <si>
    <t xml:space="preserve"> 1986 </t>
  </si>
  <si>
    <t xml:space="preserve"> 1987 </t>
  </si>
  <si>
    <t xml:space="preserve"> 1988 </t>
  </si>
  <si>
    <t xml:space="preserve"> 1989 </t>
  </si>
  <si>
    <t xml:space="preserve"> 1990 </t>
  </si>
  <si>
    <t xml:space="preserve"> 1991 </t>
  </si>
  <si>
    <t xml:space="preserve"> 1992 </t>
  </si>
  <si>
    <t xml:space="preserve"> 1993 </t>
  </si>
  <si>
    <t xml:space="preserve"> 1994 </t>
  </si>
  <si>
    <t xml:space="preserve"> 1995 </t>
  </si>
  <si>
    <t xml:space="preserve"> 1996 </t>
  </si>
  <si>
    <t xml:space="preserve"> 1997 </t>
  </si>
  <si>
    <t xml:space="preserve"> 1998 </t>
  </si>
  <si>
    <t xml:space="preserve"> 1999 </t>
  </si>
  <si>
    <t>PERIOD</t>
  </si>
  <si>
    <t>AVERAGE</t>
  </si>
  <si>
    <t xml:space="preserve">ROUND MT. FIRE TOWER (LONG CREEK) </t>
  </si>
  <si>
    <t>[Air quality standard = 1.5 Ug/M3 Quartly Mean]</t>
  </si>
  <si>
    <t>0.01?</t>
  </si>
  <si>
    <t>0.00?</t>
  </si>
  <si>
    <t>0.04?</t>
  </si>
  <si>
    <t>0.005?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</si>
</sst>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4"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 locked="0"/>
    </xf>
    <xf numFmtId="1" fontId="2" fillId="0" borderId="0" xfId="0" applyNumberFormat="1" applyFont="1" applyAlignment="1">
      <alignment horizontal="center"/>
    </xf>
    <xf numFmtId="166" fontId="0" fillId="0" borderId="0" xfId="19" applyNumberFormat="1" applyAlignment="1">
      <alignment horizontal="center"/>
    </xf>
    <xf numFmtId="9" fontId="0" fillId="0" borderId="0" xfId="19" applyNumberFormat="1" applyAlignment="1">
      <alignment horizontal="center"/>
    </xf>
    <xf numFmtId="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26">
      <selection activeCell="A33" sqref="A33"/>
    </sheetView>
  </sheetViews>
  <sheetFormatPr defaultColWidth="9.140625" defaultRowHeight="12.75"/>
  <cols>
    <col min="1" max="1" width="11.8515625" style="0" customWidth="1"/>
    <col min="2" max="2" width="15.00390625" style="0" bestFit="1" customWidth="1"/>
    <col min="3" max="3" width="8.00390625" style="0" bestFit="1" customWidth="1"/>
    <col min="4" max="4" width="7.00390625" style="0" bestFit="1" customWidth="1"/>
    <col min="5" max="5" width="40.28125" style="0" bestFit="1" customWidth="1"/>
    <col min="6" max="6" width="20.28125" style="0" bestFit="1" customWidth="1"/>
    <col min="7" max="7" width="7.421875" style="0" bestFit="1" customWidth="1"/>
    <col min="8" max="8" width="7.8515625" style="0" bestFit="1" customWidth="1"/>
    <col min="9" max="9" width="6.57421875" style="0" bestFit="1" customWidth="1"/>
    <col min="10" max="11" width="6.8515625" style="0" bestFit="1" customWidth="1"/>
    <col min="12" max="12" width="6.57421875" style="0" bestFit="1" customWidth="1"/>
    <col min="13" max="13" width="10.28125" style="16" bestFit="1" customWidth="1"/>
  </cols>
  <sheetData>
    <row r="1" spans="1:12" ht="15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5" t="s">
        <v>90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4" ht="12.75">
      <c r="B3" s="5"/>
      <c r="C3" s="5"/>
      <c r="D3" s="5"/>
    </row>
    <row r="4" spans="1:13" ht="12.75">
      <c r="A4" s="8"/>
      <c r="B4" s="9"/>
      <c r="C4" s="9"/>
      <c r="D4" s="9"/>
      <c r="E4" s="8"/>
      <c r="F4" s="8"/>
      <c r="G4" s="11" t="s">
        <v>241</v>
      </c>
      <c r="H4" s="36" t="s">
        <v>80</v>
      </c>
      <c r="I4" s="37"/>
      <c r="J4" s="36"/>
      <c r="K4" s="36"/>
      <c r="L4" s="11"/>
      <c r="M4" s="19" t="s">
        <v>272</v>
      </c>
    </row>
    <row r="5" spans="1:13" ht="12.75">
      <c r="A5" s="10" t="s">
        <v>0</v>
      </c>
      <c r="B5" s="10" t="s">
        <v>2</v>
      </c>
      <c r="C5" s="10" t="s">
        <v>82</v>
      </c>
      <c r="D5" s="10" t="s">
        <v>83</v>
      </c>
      <c r="E5" s="10" t="s">
        <v>81</v>
      </c>
      <c r="F5" s="10" t="s">
        <v>1</v>
      </c>
      <c r="G5" s="11" t="s">
        <v>268</v>
      </c>
      <c r="H5" s="11" t="s">
        <v>237</v>
      </c>
      <c r="I5" s="11" t="s">
        <v>238</v>
      </c>
      <c r="J5" s="11" t="s">
        <v>239</v>
      </c>
      <c r="K5" s="11" t="s">
        <v>240</v>
      </c>
      <c r="L5" s="11" t="s">
        <v>192</v>
      </c>
      <c r="M5" s="19" t="s">
        <v>273</v>
      </c>
    </row>
    <row r="6" spans="1:13" ht="12.75">
      <c r="A6" s="1" t="s">
        <v>6</v>
      </c>
      <c r="B6" s="24" t="s">
        <v>7</v>
      </c>
      <c r="C6" s="17">
        <v>3699183</v>
      </c>
      <c r="D6" s="17">
        <v>417056</v>
      </c>
      <c r="E6" s="1" t="s">
        <v>8</v>
      </c>
      <c r="F6" s="2"/>
      <c r="G6" s="2" t="s">
        <v>9</v>
      </c>
      <c r="H6" s="2">
        <v>105</v>
      </c>
      <c r="I6" s="2">
        <v>78</v>
      </c>
      <c r="J6" s="2">
        <v>74</v>
      </c>
      <c r="K6" s="2">
        <v>71</v>
      </c>
      <c r="L6" s="2">
        <v>46</v>
      </c>
      <c r="M6" s="21">
        <f>(L6/60)</f>
        <v>0.7666666666666667</v>
      </c>
    </row>
    <row r="7" spans="1:13" ht="12.75">
      <c r="A7" s="1" t="s">
        <v>10</v>
      </c>
      <c r="B7" s="24" t="s">
        <v>11</v>
      </c>
      <c r="C7" s="17">
        <v>3588480</v>
      </c>
      <c r="D7" s="17">
        <v>530370</v>
      </c>
      <c r="E7" s="1" t="s">
        <v>88</v>
      </c>
      <c r="F7" s="24" t="s">
        <v>11</v>
      </c>
      <c r="G7" s="2" t="s">
        <v>12</v>
      </c>
      <c r="H7" s="2">
        <v>85</v>
      </c>
      <c r="I7" s="2">
        <v>69</v>
      </c>
      <c r="J7" s="2">
        <v>53</v>
      </c>
      <c r="K7" s="2">
        <v>51</v>
      </c>
      <c r="L7" s="2">
        <v>26</v>
      </c>
      <c r="M7" s="21">
        <f>(L7/40)</f>
        <v>0.65</v>
      </c>
    </row>
    <row r="8" spans="1:13" ht="12.75">
      <c r="A8" s="1" t="s">
        <v>13</v>
      </c>
      <c r="B8" s="24" t="s">
        <v>11</v>
      </c>
      <c r="C8" s="17">
        <v>3588470</v>
      </c>
      <c r="D8" s="17">
        <v>530355</v>
      </c>
      <c r="E8" s="1" t="s">
        <v>14</v>
      </c>
      <c r="F8" s="24" t="s">
        <v>11</v>
      </c>
      <c r="G8" s="2" t="s">
        <v>16</v>
      </c>
      <c r="H8" s="2">
        <v>48</v>
      </c>
      <c r="I8" s="2">
        <v>35</v>
      </c>
      <c r="J8" s="2">
        <v>34</v>
      </c>
      <c r="K8" s="2">
        <v>33</v>
      </c>
      <c r="L8" s="2">
        <v>11</v>
      </c>
      <c r="M8" s="21">
        <f>(L8/15)</f>
        <v>0.7333333333333333</v>
      </c>
    </row>
    <row r="9" spans="1:13" ht="12.75">
      <c r="A9" s="1" t="s">
        <v>17</v>
      </c>
      <c r="B9" s="24" t="s">
        <v>18</v>
      </c>
      <c r="C9" s="17">
        <v>3638503</v>
      </c>
      <c r="D9" s="17">
        <v>595649</v>
      </c>
      <c r="E9" s="1" t="s">
        <v>19</v>
      </c>
      <c r="F9" s="24" t="s">
        <v>182</v>
      </c>
      <c r="G9" s="2">
        <v>36</v>
      </c>
      <c r="H9" s="2">
        <v>105</v>
      </c>
      <c r="I9" s="2">
        <v>66</v>
      </c>
      <c r="J9" s="2">
        <v>65</v>
      </c>
      <c r="K9" s="2">
        <v>64</v>
      </c>
      <c r="L9" s="2">
        <v>59</v>
      </c>
      <c r="M9" s="21">
        <f aca="true" t="shared" si="0" ref="M9:M32">(L9/60)</f>
        <v>0.9833333333333333</v>
      </c>
    </row>
    <row r="10" spans="1:13" ht="12.75">
      <c r="A10" s="1" t="s">
        <v>20</v>
      </c>
      <c r="B10" s="24" t="s">
        <v>18</v>
      </c>
      <c r="C10" s="17">
        <v>3645337</v>
      </c>
      <c r="D10" s="17">
        <v>625554</v>
      </c>
      <c r="E10" s="1" t="s">
        <v>21</v>
      </c>
      <c r="F10" s="2"/>
      <c r="G10" s="2" t="s">
        <v>15</v>
      </c>
      <c r="H10" s="2">
        <v>71</v>
      </c>
      <c r="I10" s="2">
        <v>59</v>
      </c>
      <c r="J10" s="2">
        <v>57</v>
      </c>
      <c r="K10" s="2">
        <v>54</v>
      </c>
      <c r="L10" s="2">
        <v>53</v>
      </c>
      <c r="M10" s="21">
        <f t="shared" si="0"/>
        <v>0.8833333333333333</v>
      </c>
    </row>
    <row r="11" spans="1:13" ht="12.75">
      <c r="A11" s="1" t="s">
        <v>22</v>
      </c>
      <c r="B11" s="24" t="s">
        <v>18</v>
      </c>
      <c r="C11" s="17">
        <v>3634157</v>
      </c>
      <c r="D11" s="17">
        <v>598473</v>
      </c>
      <c r="E11" s="1" t="s">
        <v>87</v>
      </c>
      <c r="F11" s="24" t="s">
        <v>182</v>
      </c>
      <c r="G11" s="2" t="s">
        <v>24</v>
      </c>
      <c r="H11" s="2">
        <v>90</v>
      </c>
      <c r="I11" s="2">
        <v>68</v>
      </c>
      <c r="J11" s="2">
        <v>68</v>
      </c>
      <c r="K11" s="2">
        <v>55</v>
      </c>
      <c r="L11" s="2">
        <v>53</v>
      </c>
      <c r="M11" s="21">
        <f t="shared" si="0"/>
        <v>0.8833333333333333</v>
      </c>
    </row>
    <row r="12" spans="1:13" ht="12.75">
      <c r="A12" s="1" t="s">
        <v>25</v>
      </c>
      <c r="B12" s="24" t="s">
        <v>26</v>
      </c>
      <c r="C12" s="17">
        <v>3809572</v>
      </c>
      <c r="D12" s="17">
        <v>649208</v>
      </c>
      <c r="E12" t="s">
        <v>251</v>
      </c>
      <c r="F12" s="24" t="s">
        <v>26</v>
      </c>
      <c r="G12" s="2">
        <v>32</v>
      </c>
      <c r="H12" s="2">
        <v>66</v>
      </c>
      <c r="I12" s="2">
        <v>65</v>
      </c>
      <c r="J12" s="2">
        <v>62</v>
      </c>
      <c r="K12" s="2">
        <v>60</v>
      </c>
      <c r="L12" s="2">
        <v>60</v>
      </c>
      <c r="M12" s="21">
        <f t="shared" si="0"/>
        <v>1</v>
      </c>
    </row>
    <row r="13" spans="1:13" ht="12.75">
      <c r="A13" s="1" t="s">
        <v>27</v>
      </c>
      <c r="B13" s="24" t="s">
        <v>28</v>
      </c>
      <c r="C13" s="17">
        <v>3784358</v>
      </c>
      <c r="D13" s="17">
        <v>610696</v>
      </c>
      <c r="E13" s="1" t="s">
        <v>29</v>
      </c>
      <c r="F13" s="24" t="s">
        <v>28</v>
      </c>
      <c r="G13" s="2">
        <v>33</v>
      </c>
      <c r="H13" s="2">
        <v>82</v>
      </c>
      <c r="I13" s="2">
        <v>77</v>
      </c>
      <c r="J13" s="2">
        <v>72</v>
      </c>
      <c r="K13" s="2">
        <v>70</v>
      </c>
      <c r="L13" s="2">
        <v>60</v>
      </c>
      <c r="M13" s="21">
        <f t="shared" si="0"/>
        <v>1</v>
      </c>
    </row>
    <row r="14" spans="1:13" ht="12.75">
      <c r="A14" s="1" t="s">
        <v>30</v>
      </c>
      <c r="B14" s="24" t="s">
        <v>31</v>
      </c>
      <c r="C14" s="17">
        <v>3693255</v>
      </c>
      <c r="D14" s="17">
        <v>658389</v>
      </c>
      <c r="E14" s="1" t="s">
        <v>32</v>
      </c>
      <c r="F14" s="24" t="s">
        <v>31</v>
      </c>
      <c r="G14" s="2">
        <v>46</v>
      </c>
      <c r="H14" s="2">
        <v>105</v>
      </c>
      <c r="I14" s="2">
        <v>102</v>
      </c>
      <c r="J14" s="2">
        <v>97</v>
      </c>
      <c r="K14" s="2">
        <v>95</v>
      </c>
      <c r="L14" s="2">
        <v>57</v>
      </c>
      <c r="M14" s="21">
        <f t="shared" si="0"/>
        <v>0.95</v>
      </c>
    </row>
    <row r="15" spans="1:13" ht="12.75">
      <c r="A15" s="1" t="s">
        <v>33</v>
      </c>
      <c r="B15" s="24" t="s">
        <v>31</v>
      </c>
      <c r="C15" s="17">
        <v>3692520</v>
      </c>
      <c r="D15" s="17">
        <v>658711</v>
      </c>
      <c r="E15" s="1" t="s">
        <v>34</v>
      </c>
      <c r="F15" s="24" t="s">
        <v>31</v>
      </c>
      <c r="G15" s="2">
        <v>69</v>
      </c>
      <c r="H15" s="2">
        <v>153</v>
      </c>
      <c r="I15" s="2">
        <v>132</v>
      </c>
      <c r="J15" s="2">
        <v>124</v>
      </c>
      <c r="K15" s="2">
        <v>117</v>
      </c>
      <c r="L15" s="2">
        <v>50</v>
      </c>
      <c r="M15" s="21">
        <f t="shared" si="0"/>
        <v>0.8333333333333334</v>
      </c>
    </row>
    <row r="16" spans="1:13" ht="12.75">
      <c r="A16" s="1" t="s">
        <v>36</v>
      </c>
      <c r="B16" s="24" t="s">
        <v>31</v>
      </c>
      <c r="C16" s="17">
        <v>3690944</v>
      </c>
      <c r="D16" s="17">
        <v>658375</v>
      </c>
      <c r="E16" s="1" t="s">
        <v>37</v>
      </c>
      <c r="F16" s="24" t="s">
        <v>31</v>
      </c>
      <c r="G16" s="2">
        <v>22</v>
      </c>
      <c r="H16" s="2">
        <v>69</v>
      </c>
      <c r="I16" s="2">
        <v>57</v>
      </c>
      <c r="J16" s="2">
        <v>52</v>
      </c>
      <c r="K16" s="2">
        <v>51</v>
      </c>
      <c r="L16" s="2">
        <v>57</v>
      </c>
      <c r="M16" s="21">
        <f t="shared" si="0"/>
        <v>0.95</v>
      </c>
    </row>
    <row r="17" spans="1:13" ht="12.75">
      <c r="A17" s="1" t="s">
        <v>38</v>
      </c>
      <c r="B17" s="24" t="s">
        <v>31</v>
      </c>
      <c r="C17" s="17">
        <v>3693858</v>
      </c>
      <c r="D17" s="17">
        <v>659490</v>
      </c>
      <c r="E17" s="1" t="s">
        <v>39</v>
      </c>
      <c r="F17" s="24" t="s">
        <v>31</v>
      </c>
      <c r="G17" s="2" t="s">
        <v>9</v>
      </c>
      <c r="H17" s="2">
        <v>125</v>
      </c>
      <c r="I17" s="2">
        <v>119</v>
      </c>
      <c r="J17" s="2">
        <v>110</v>
      </c>
      <c r="K17" s="2">
        <v>103</v>
      </c>
      <c r="L17" s="2">
        <v>53</v>
      </c>
      <c r="M17" s="21">
        <f t="shared" si="0"/>
        <v>0.8833333333333333</v>
      </c>
    </row>
    <row r="18" spans="1:13" ht="12.75">
      <c r="A18" s="1" t="s">
        <v>40</v>
      </c>
      <c r="B18" s="24" t="s">
        <v>41</v>
      </c>
      <c r="C18" s="17">
        <v>3855846</v>
      </c>
      <c r="D18" s="17">
        <v>371736</v>
      </c>
      <c r="E18" s="1" t="s">
        <v>42</v>
      </c>
      <c r="F18" s="24" t="s">
        <v>41</v>
      </c>
      <c r="G18" s="2" t="s">
        <v>43</v>
      </c>
      <c r="H18" s="2">
        <v>112</v>
      </c>
      <c r="I18" s="2">
        <v>100</v>
      </c>
      <c r="J18" s="2">
        <v>61</v>
      </c>
      <c r="K18" s="2">
        <v>59</v>
      </c>
      <c r="L18" s="2">
        <v>32</v>
      </c>
      <c r="M18" s="21">
        <f t="shared" si="0"/>
        <v>0.5333333333333333</v>
      </c>
    </row>
    <row r="19" spans="1:13" ht="12.75">
      <c r="A19" s="1" t="s">
        <v>44</v>
      </c>
      <c r="B19" s="24" t="s">
        <v>41</v>
      </c>
      <c r="C19" s="17">
        <v>3866851</v>
      </c>
      <c r="D19" s="17">
        <v>387723</v>
      </c>
      <c r="E19" s="1" t="s">
        <v>86</v>
      </c>
      <c r="F19" s="24" t="s">
        <v>45</v>
      </c>
      <c r="G19" s="2">
        <v>32</v>
      </c>
      <c r="H19" s="2">
        <v>89</v>
      </c>
      <c r="I19" s="2">
        <v>71</v>
      </c>
      <c r="J19" s="2">
        <v>65</v>
      </c>
      <c r="K19" s="2">
        <v>55</v>
      </c>
      <c r="L19" s="2">
        <v>56</v>
      </c>
      <c r="M19" s="21">
        <f t="shared" si="0"/>
        <v>0.9333333333333333</v>
      </c>
    </row>
    <row r="20" spans="1:13" ht="12.75">
      <c r="A20" s="1" t="s">
        <v>46</v>
      </c>
      <c r="B20" s="24" t="s">
        <v>47</v>
      </c>
      <c r="C20" s="17">
        <v>3782427</v>
      </c>
      <c r="D20" s="17">
        <v>393814</v>
      </c>
      <c r="E20" s="1" t="s">
        <v>48</v>
      </c>
      <c r="F20" s="24" t="s">
        <v>47</v>
      </c>
      <c r="G20" s="2">
        <v>29</v>
      </c>
      <c r="H20" s="2">
        <v>91</v>
      </c>
      <c r="I20" s="2">
        <v>84</v>
      </c>
      <c r="J20" s="2">
        <v>62</v>
      </c>
      <c r="K20" s="2">
        <v>53</v>
      </c>
      <c r="L20" s="2">
        <v>57</v>
      </c>
      <c r="M20" s="21">
        <f t="shared" si="0"/>
        <v>0.95</v>
      </c>
    </row>
    <row r="21" spans="1:13" ht="12.75">
      <c r="A21" s="1" t="s">
        <v>49</v>
      </c>
      <c r="B21" s="24" t="s">
        <v>47</v>
      </c>
      <c r="C21" s="17">
        <v>3780864</v>
      </c>
      <c r="D21" s="17">
        <v>393053</v>
      </c>
      <c r="E21" s="1" t="s">
        <v>246</v>
      </c>
      <c r="F21" s="2"/>
      <c r="G21" s="2" t="s">
        <v>12</v>
      </c>
      <c r="H21" s="2">
        <v>79</v>
      </c>
      <c r="I21" s="2">
        <v>63</v>
      </c>
      <c r="J21" s="2">
        <v>59</v>
      </c>
      <c r="K21" s="2">
        <v>59</v>
      </c>
      <c r="L21" s="2">
        <v>54</v>
      </c>
      <c r="M21" s="21">
        <f t="shared" si="0"/>
        <v>0.9</v>
      </c>
    </row>
    <row r="22" spans="1:13" ht="12.75">
      <c r="A22" s="1" t="s">
        <v>50</v>
      </c>
      <c r="B22" s="24" t="s">
        <v>51</v>
      </c>
      <c r="C22" s="17">
        <v>3637122</v>
      </c>
      <c r="D22" s="17">
        <v>489216</v>
      </c>
      <c r="E22" s="1" t="s">
        <v>52</v>
      </c>
      <c r="F22" s="24" t="s">
        <v>51</v>
      </c>
      <c r="G22" s="2" t="s">
        <v>35</v>
      </c>
      <c r="H22" s="2">
        <v>138</v>
      </c>
      <c r="I22" s="2">
        <v>89</v>
      </c>
      <c r="J22" s="2">
        <v>75</v>
      </c>
      <c r="K22" s="2">
        <v>68</v>
      </c>
      <c r="L22" s="2">
        <v>50</v>
      </c>
      <c r="M22" s="21">
        <f t="shared" si="0"/>
        <v>0.8333333333333334</v>
      </c>
    </row>
    <row r="23" spans="1:13" ht="12.75">
      <c r="A23" s="1" t="s">
        <v>54</v>
      </c>
      <c r="B23" s="24" t="s">
        <v>56</v>
      </c>
      <c r="C23" s="17">
        <v>3731000</v>
      </c>
      <c r="D23" s="17">
        <v>696737</v>
      </c>
      <c r="E23" s="1" t="s">
        <v>57</v>
      </c>
      <c r="F23" s="24" t="s">
        <v>55</v>
      </c>
      <c r="G23" s="2" t="s">
        <v>23</v>
      </c>
      <c r="H23" s="2">
        <v>67</v>
      </c>
      <c r="I23" s="2">
        <v>63</v>
      </c>
      <c r="J23" s="2">
        <v>61</v>
      </c>
      <c r="K23" s="2">
        <v>56</v>
      </c>
      <c r="L23" s="2">
        <v>49</v>
      </c>
      <c r="M23" s="21">
        <f t="shared" si="0"/>
        <v>0.8166666666666667</v>
      </c>
    </row>
    <row r="24" spans="1:13" ht="12.75">
      <c r="A24" s="1" t="s">
        <v>58</v>
      </c>
      <c r="B24" s="24" t="s">
        <v>60</v>
      </c>
      <c r="C24" s="17">
        <v>3789473</v>
      </c>
      <c r="D24" s="17">
        <v>536014</v>
      </c>
      <c r="E24" s="1" t="s">
        <v>61</v>
      </c>
      <c r="F24" s="24" t="s">
        <v>59</v>
      </c>
      <c r="G24" s="2">
        <v>26</v>
      </c>
      <c r="H24" s="2">
        <v>55</v>
      </c>
      <c r="I24" s="2">
        <v>52</v>
      </c>
      <c r="J24" s="2">
        <v>52</v>
      </c>
      <c r="K24" s="2">
        <v>51</v>
      </c>
      <c r="L24" s="2">
        <v>58</v>
      </c>
      <c r="M24" s="21">
        <f t="shared" si="0"/>
        <v>0.9666666666666667</v>
      </c>
    </row>
    <row r="25" spans="1:13" ht="12.75">
      <c r="A25" s="1" t="s">
        <v>62</v>
      </c>
      <c r="B25" s="24" t="s">
        <v>63</v>
      </c>
      <c r="C25" s="17">
        <v>3738007</v>
      </c>
      <c r="D25" s="17">
        <v>488916</v>
      </c>
      <c r="E25" s="1" t="s">
        <v>245</v>
      </c>
      <c r="F25" s="2"/>
      <c r="G25" s="2" t="s">
        <v>64</v>
      </c>
      <c r="H25" s="2">
        <v>130</v>
      </c>
      <c r="I25" s="2">
        <v>67</v>
      </c>
      <c r="J25" s="2">
        <v>66</v>
      </c>
      <c r="K25" s="2">
        <v>62</v>
      </c>
      <c r="L25" s="2">
        <v>54</v>
      </c>
      <c r="M25" s="21">
        <f t="shared" si="0"/>
        <v>0.9</v>
      </c>
    </row>
    <row r="26" spans="1:13" ht="12.75">
      <c r="A26" s="1" t="s">
        <v>65</v>
      </c>
      <c r="B26" s="24" t="s">
        <v>63</v>
      </c>
      <c r="C26" s="17">
        <v>3758514</v>
      </c>
      <c r="D26" s="17">
        <v>493969</v>
      </c>
      <c r="E26" s="1" t="s">
        <v>67</v>
      </c>
      <c r="F26" s="24" t="s">
        <v>66</v>
      </c>
      <c r="G26" s="2" t="s">
        <v>53</v>
      </c>
      <c r="H26" s="2">
        <v>101</v>
      </c>
      <c r="I26" s="2">
        <v>91</v>
      </c>
      <c r="J26" s="2">
        <v>88</v>
      </c>
      <c r="K26" s="2">
        <v>84</v>
      </c>
      <c r="L26" s="2">
        <v>50</v>
      </c>
      <c r="M26" s="21">
        <f t="shared" si="0"/>
        <v>0.8333333333333334</v>
      </c>
    </row>
    <row r="27" spans="1:13" ht="12.75">
      <c r="A27" s="1" t="s">
        <v>68</v>
      </c>
      <c r="B27" s="24" t="s">
        <v>70</v>
      </c>
      <c r="C27" s="17">
        <v>3762547</v>
      </c>
      <c r="D27" s="17">
        <v>497871</v>
      </c>
      <c r="E27" s="1" t="s">
        <v>250</v>
      </c>
      <c r="F27" s="24" t="s">
        <v>69</v>
      </c>
      <c r="G27" s="2">
        <v>33</v>
      </c>
      <c r="H27" s="2">
        <v>76</v>
      </c>
      <c r="I27" s="2">
        <v>67</v>
      </c>
      <c r="J27" s="2">
        <v>65</v>
      </c>
      <c r="K27" s="2">
        <v>64</v>
      </c>
      <c r="L27" s="2">
        <v>55</v>
      </c>
      <c r="M27" s="21">
        <f t="shared" si="0"/>
        <v>0.9166666666666666</v>
      </c>
    </row>
    <row r="28" spans="1:13" ht="12.75">
      <c r="A28" s="1" t="s">
        <v>71</v>
      </c>
      <c r="B28" s="24" t="s">
        <v>70</v>
      </c>
      <c r="C28" s="17">
        <v>3772372</v>
      </c>
      <c r="D28" s="17">
        <v>503485</v>
      </c>
      <c r="E28" s="1" t="s">
        <v>243</v>
      </c>
      <c r="F28" s="24" t="s">
        <v>69</v>
      </c>
      <c r="G28" s="2">
        <v>29</v>
      </c>
      <c r="H28" s="2">
        <v>103</v>
      </c>
      <c r="I28" s="2">
        <v>72</v>
      </c>
      <c r="J28" s="2">
        <v>61</v>
      </c>
      <c r="K28" s="2">
        <v>57</v>
      </c>
      <c r="L28" s="2">
        <v>58</v>
      </c>
      <c r="M28" s="21">
        <f t="shared" si="0"/>
        <v>0.9666666666666667</v>
      </c>
    </row>
    <row r="29" spans="1:13" ht="12.75">
      <c r="A29" s="1" t="s">
        <v>72</v>
      </c>
      <c r="B29" s="24" t="s">
        <v>70</v>
      </c>
      <c r="C29" s="17">
        <v>3760083</v>
      </c>
      <c r="D29" s="17">
        <v>498204</v>
      </c>
      <c r="E29" s="1" t="s">
        <v>244</v>
      </c>
      <c r="F29" s="24" t="s">
        <v>69</v>
      </c>
      <c r="G29" s="2" t="s">
        <v>53</v>
      </c>
      <c r="H29" s="2">
        <v>106</v>
      </c>
      <c r="I29" s="2">
        <v>75</v>
      </c>
      <c r="J29" s="2">
        <v>74</v>
      </c>
      <c r="K29" s="2">
        <v>72</v>
      </c>
      <c r="L29" s="2">
        <v>45</v>
      </c>
      <c r="M29" s="21">
        <f t="shared" si="0"/>
        <v>0.75</v>
      </c>
    </row>
    <row r="30" spans="1:13" ht="12.75">
      <c r="A30" s="1" t="s">
        <v>73</v>
      </c>
      <c r="B30" s="24" t="s">
        <v>70</v>
      </c>
      <c r="C30" s="17">
        <v>3741587</v>
      </c>
      <c r="D30" s="17">
        <v>516067</v>
      </c>
      <c r="E30" s="1" t="s">
        <v>85</v>
      </c>
      <c r="F30" s="2"/>
      <c r="G30" s="2">
        <v>17</v>
      </c>
      <c r="H30" s="2">
        <v>43</v>
      </c>
      <c r="I30" s="2">
        <v>42</v>
      </c>
      <c r="J30" s="2">
        <v>37</v>
      </c>
      <c r="K30" s="2">
        <v>37</v>
      </c>
      <c r="L30" s="2">
        <v>57</v>
      </c>
      <c r="M30" s="21">
        <f t="shared" si="0"/>
        <v>0.95</v>
      </c>
    </row>
    <row r="31" spans="1:13" ht="12.75">
      <c r="A31" s="1" t="s">
        <v>74</v>
      </c>
      <c r="B31" s="24" t="s">
        <v>75</v>
      </c>
      <c r="C31" s="17">
        <v>3867421</v>
      </c>
      <c r="D31" s="17">
        <v>414850</v>
      </c>
      <c r="E31" s="1" t="s">
        <v>76</v>
      </c>
      <c r="F31" s="24" t="s">
        <v>75</v>
      </c>
      <c r="G31" s="2">
        <v>33</v>
      </c>
      <c r="H31" s="2">
        <v>70</v>
      </c>
      <c r="I31" s="2">
        <v>67</v>
      </c>
      <c r="J31" s="2">
        <v>63</v>
      </c>
      <c r="K31" s="2">
        <v>59</v>
      </c>
      <c r="L31" s="2">
        <v>56</v>
      </c>
      <c r="M31" s="21">
        <f t="shared" si="0"/>
        <v>0.9333333333333333</v>
      </c>
    </row>
    <row r="32" spans="1:13" ht="12.75">
      <c r="A32" s="1" t="s">
        <v>77</v>
      </c>
      <c r="B32" s="24" t="s">
        <v>79</v>
      </c>
      <c r="C32" s="17">
        <v>3868718</v>
      </c>
      <c r="D32" s="17">
        <v>499924</v>
      </c>
      <c r="E32" s="1" t="s">
        <v>84</v>
      </c>
      <c r="F32" s="24" t="s">
        <v>78</v>
      </c>
      <c r="G32" s="2">
        <v>41</v>
      </c>
      <c r="H32" s="2">
        <v>96</v>
      </c>
      <c r="I32" s="2">
        <v>77</v>
      </c>
      <c r="J32" s="2">
        <v>73</v>
      </c>
      <c r="K32" s="2">
        <v>72</v>
      </c>
      <c r="L32" s="2">
        <v>56</v>
      </c>
      <c r="M32" s="21">
        <f t="shared" si="0"/>
        <v>0.9333333333333333</v>
      </c>
    </row>
    <row r="33" spans="1:13" ht="12.75">
      <c r="A33" s="1" t="s">
        <v>275</v>
      </c>
      <c r="B33" s="1"/>
      <c r="C33" s="17"/>
      <c r="D33" s="17"/>
      <c r="E33" s="1"/>
      <c r="F33" s="1"/>
      <c r="G33" s="2"/>
      <c r="H33" s="2"/>
      <c r="I33" s="2"/>
      <c r="J33" s="2"/>
      <c r="K33" s="2"/>
      <c r="L33" s="2"/>
      <c r="M33" s="20">
        <f>AVERAGE(M6:M32)</f>
        <v>0.8753086419753084</v>
      </c>
    </row>
    <row r="34" spans="1:12" ht="12.75">
      <c r="A34" s="3" t="s">
        <v>247</v>
      </c>
      <c r="B34" s="4"/>
      <c r="C34" s="4"/>
      <c r="D34" s="4"/>
      <c r="E34" s="4"/>
      <c r="F34" s="4"/>
      <c r="G34" s="2"/>
      <c r="H34" s="2"/>
      <c r="I34" s="2"/>
      <c r="J34" s="2"/>
      <c r="K34" s="2"/>
      <c r="L34" s="2"/>
    </row>
  </sheetData>
  <mergeCells count="3">
    <mergeCell ref="A1:L1"/>
    <mergeCell ref="A2:L2"/>
    <mergeCell ref="H4:K4"/>
  </mergeCells>
  <printOptions horizontalCentered="1"/>
  <pageMargins left="0.25" right="0.25" top="0.5" bottom="0.5" header="0" footer="0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F1">
      <selection activeCell="A1" sqref="A1:N1"/>
    </sheetView>
  </sheetViews>
  <sheetFormatPr defaultColWidth="9.140625" defaultRowHeight="12.75"/>
  <cols>
    <col min="1" max="1" width="12.7109375" style="0" customWidth="1"/>
    <col min="2" max="2" width="15.00390625" style="0" bestFit="1" customWidth="1"/>
    <col min="3" max="3" width="8.00390625" style="0" bestFit="1" customWidth="1"/>
    <col min="4" max="4" width="7.00390625" style="0" bestFit="1" customWidth="1"/>
    <col min="5" max="5" width="33.57421875" style="0" bestFit="1" customWidth="1"/>
    <col min="6" max="6" width="20.28125" style="0" bestFit="1" customWidth="1"/>
    <col min="7" max="7" width="6.8515625" style="0" bestFit="1" customWidth="1"/>
    <col min="8" max="8" width="7.8515625" style="0" customWidth="1"/>
    <col min="9" max="9" width="6.8515625" style="0" bestFit="1" customWidth="1"/>
    <col min="10" max="10" width="7.7109375" style="0" customWidth="1"/>
    <col min="11" max="11" width="6.8515625" style="0" bestFit="1" customWidth="1"/>
    <col min="12" max="12" width="7.7109375" style="0" customWidth="1"/>
    <col min="13" max="13" width="6.8515625" style="0" bestFit="1" customWidth="1"/>
    <col min="14" max="14" width="7.421875" style="0" customWidth="1"/>
    <col min="15" max="15" width="6.8515625" style="0" bestFit="1" customWidth="1"/>
    <col min="16" max="16" width="13.421875" style="0" bestFit="1" customWidth="1"/>
  </cols>
  <sheetData>
    <row r="1" spans="1:14" ht="15">
      <c r="A1" s="39" t="s">
        <v>175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5" t="s">
        <v>301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7:16" ht="12.75">
      <c r="G4" s="38" t="s">
        <v>166</v>
      </c>
      <c r="H4" s="38"/>
      <c r="I4" s="38" t="s">
        <v>167</v>
      </c>
      <c r="J4" s="38"/>
      <c r="K4" s="38" t="s">
        <v>168</v>
      </c>
      <c r="L4" s="38"/>
      <c r="M4" s="38" t="s">
        <v>169</v>
      </c>
      <c r="N4" s="38"/>
      <c r="O4" s="38" t="s">
        <v>236</v>
      </c>
      <c r="P4" s="38"/>
    </row>
    <row r="5" spans="1:16" ht="12.75">
      <c r="A5" s="6" t="s">
        <v>0</v>
      </c>
      <c r="B5" s="6" t="s">
        <v>2</v>
      </c>
      <c r="C5" s="6" t="s">
        <v>82</v>
      </c>
      <c r="D5" s="6" t="s">
        <v>83</v>
      </c>
      <c r="E5" s="6" t="s">
        <v>81</v>
      </c>
      <c r="F5" s="6" t="s">
        <v>1</v>
      </c>
      <c r="G5" s="6" t="s">
        <v>165</v>
      </c>
      <c r="H5" s="6" t="s">
        <v>5</v>
      </c>
      <c r="I5" s="6" t="s">
        <v>165</v>
      </c>
      <c r="J5" s="6" t="s">
        <v>5</v>
      </c>
      <c r="K5" s="6" t="s">
        <v>165</v>
      </c>
      <c r="L5" s="6" t="s">
        <v>5</v>
      </c>
      <c r="M5" s="6" t="s">
        <v>165</v>
      </c>
      <c r="N5" s="6" t="s">
        <v>5</v>
      </c>
      <c r="O5" s="6" t="s">
        <v>165</v>
      </c>
      <c r="P5" s="6" t="s">
        <v>274</v>
      </c>
    </row>
    <row r="6" spans="1:16" ht="12.75">
      <c r="A6" t="s">
        <v>6</v>
      </c>
      <c r="B6" s="2" t="s">
        <v>7</v>
      </c>
      <c r="C6" s="17">
        <v>3699183</v>
      </c>
      <c r="D6" s="17">
        <v>417056</v>
      </c>
      <c r="E6" t="s">
        <v>8</v>
      </c>
      <c r="F6" s="2"/>
      <c r="G6" s="16">
        <v>9</v>
      </c>
      <c r="H6" s="7" t="s">
        <v>303</v>
      </c>
      <c r="I6" s="16">
        <v>14</v>
      </c>
      <c r="J6" s="7">
        <v>0</v>
      </c>
      <c r="K6" s="16">
        <v>12</v>
      </c>
      <c r="L6" s="7">
        <v>0</v>
      </c>
      <c r="M6" s="16">
        <v>11</v>
      </c>
      <c r="N6" s="7" t="s">
        <v>303</v>
      </c>
      <c r="O6" s="16">
        <f aca="true" t="shared" si="0" ref="O6:O29">+G6+I6+K6+M6</f>
        <v>46</v>
      </c>
      <c r="P6" s="22">
        <f>(O6/60)</f>
        <v>0.7666666666666667</v>
      </c>
    </row>
    <row r="7" spans="1:16" ht="12.75">
      <c r="A7" t="s">
        <v>10</v>
      </c>
      <c r="B7" s="2" t="s">
        <v>11</v>
      </c>
      <c r="C7" s="17">
        <v>3588480</v>
      </c>
      <c r="D7" s="17">
        <v>530370</v>
      </c>
      <c r="E7" t="s">
        <v>171</v>
      </c>
      <c r="F7" s="2" t="s">
        <v>11</v>
      </c>
      <c r="G7" s="16">
        <v>9</v>
      </c>
      <c r="H7" s="7" t="s">
        <v>303</v>
      </c>
      <c r="I7" s="16">
        <v>11</v>
      </c>
      <c r="J7" s="7" t="s">
        <v>303</v>
      </c>
      <c r="K7" s="16">
        <v>6</v>
      </c>
      <c r="L7" s="7" t="s">
        <v>303</v>
      </c>
      <c r="M7" s="16"/>
      <c r="N7" s="7"/>
      <c r="O7" s="16">
        <f t="shared" si="0"/>
        <v>26</v>
      </c>
      <c r="P7" s="22">
        <f>(O7/40)</f>
        <v>0.65</v>
      </c>
    </row>
    <row r="8" spans="1:16" ht="12.75">
      <c r="A8" t="s">
        <v>13</v>
      </c>
      <c r="B8" s="2" t="s">
        <v>11</v>
      </c>
      <c r="C8" s="17">
        <v>3588470</v>
      </c>
      <c r="D8" s="17">
        <v>530355</v>
      </c>
      <c r="E8" t="s">
        <v>14</v>
      </c>
      <c r="F8" s="2" t="s">
        <v>11</v>
      </c>
      <c r="G8" s="17"/>
      <c r="H8" s="7"/>
      <c r="I8" s="16"/>
      <c r="J8" s="7"/>
      <c r="K8" s="16"/>
      <c r="L8" s="7"/>
      <c r="M8" s="16">
        <v>11</v>
      </c>
      <c r="N8" s="7" t="s">
        <v>303</v>
      </c>
      <c r="O8" s="16">
        <f t="shared" si="0"/>
        <v>11</v>
      </c>
      <c r="P8" s="22">
        <f>(O8/15)</f>
        <v>0.7333333333333333</v>
      </c>
    </row>
    <row r="9" spans="1:16" ht="12.75">
      <c r="A9" t="s">
        <v>17</v>
      </c>
      <c r="B9" s="2" t="s">
        <v>18</v>
      </c>
      <c r="C9" s="17">
        <v>3638503</v>
      </c>
      <c r="D9" s="17">
        <v>595649</v>
      </c>
      <c r="E9" t="s">
        <v>19</v>
      </c>
      <c r="F9" s="24" t="s">
        <v>182</v>
      </c>
      <c r="G9" s="16">
        <v>15</v>
      </c>
      <c r="H9" s="7">
        <v>0.01</v>
      </c>
      <c r="I9" s="16">
        <v>15</v>
      </c>
      <c r="J9" s="7">
        <v>0.01</v>
      </c>
      <c r="K9" s="16">
        <v>15</v>
      </c>
      <c r="L9" s="7">
        <v>0</v>
      </c>
      <c r="M9" s="16">
        <v>14</v>
      </c>
      <c r="N9" s="7">
        <v>0.01</v>
      </c>
      <c r="O9" s="16">
        <f t="shared" si="0"/>
        <v>59</v>
      </c>
      <c r="P9" s="22">
        <f aca="true" t="shared" si="1" ref="P9:P29">(O9/60)</f>
        <v>0.9833333333333333</v>
      </c>
    </row>
    <row r="10" spans="1:16" ht="12.75">
      <c r="A10" t="s">
        <v>20</v>
      </c>
      <c r="B10" s="2" t="s">
        <v>18</v>
      </c>
      <c r="C10" s="17">
        <v>3645337</v>
      </c>
      <c r="D10" s="17">
        <v>625554</v>
      </c>
      <c r="E10" t="s">
        <v>21</v>
      </c>
      <c r="F10" s="2"/>
      <c r="G10" s="16">
        <v>14</v>
      </c>
      <c r="H10" s="7">
        <v>0</v>
      </c>
      <c r="I10" s="16">
        <v>15</v>
      </c>
      <c r="J10" s="7">
        <v>0</v>
      </c>
      <c r="K10" s="16">
        <v>11</v>
      </c>
      <c r="L10" s="7" t="s">
        <v>303</v>
      </c>
      <c r="M10" s="16">
        <v>13</v>
      </c>
      <c r="N10" s="7">
        <v>0</v>
      </c>
      <c r="O10" s="16">
        <f t="shared" si="0"/>
        <v>53</v>
      </c>
      <c r="P10" s="22">
        <f t="shared" si="1"/>
        <v>0.8833333333333333</v>
      </c>
    </row>
    <row r="11" spans="1:16" ht="12.75">
      <c r="A11" t="s">
        <v>22</v>
      </c>
      <c r="B11" s="2" t="s">
        <v>18</v>
      </c>
      <c r="C11" s="17">
        <v>3634157</v>
      </c>
      <c r="D11" s="17">
        <v>598473</v>
      </c>
      <c r="E11" t="s">
        <v>87</v>
      </c>
      <c r="F11" s="24" t="s">
        <v>182</v>
      </c>
      <c r="G11" s="16">
        <v>14</v>
      </c>
      <c r="H11" s="7">
        <v>0.01</v>
      </c>
      <c r="I11" s="16">
        <v>15</v>
      </c>
      <c r="J11" s="7">
        <v>0.01</v>
      </c>
      <c r="K11" s="16">
        <v>13</v>
      </c>
      <c r="L11" s="7">
        <v>0.01</v>
      </c>
      <c r="M11" s="16">
        <v>11</v>
      </c>
      <c r="N11" s="7" t="s">
        <v>303</v>
      </c>
      <c r="O11" s="16">
        <f t="shared" si="0"/>
        <v>53</v>
      </c>
      <c r="P11" s="22">
        <f t="shared" si="1"/>
        <v>0.8833333333333333</v>
      </c>
    </row>
    <row r="12" spans="1:16" ht="12.75">
      <c r="A12" t="s">
        <v>25</v>
      </c>
      <c r="B12" s="2" t="s">
        <v>26</v>
      </c>
      <c r="C12" s="17">
        <v>3809572</v>
      </c>
      <c r="D12" s="17">
        <v>649208</v>
      </c>
      <c r="E12" t="s">
        <v>251</v>
      </c>
      <c r="F12" s="2" t="s">
        <v>26</v>
      </c>
      <c r="G12" s="16">
        <v>15</v>
      </c>
      <c r="H12" s="7">
        <v>0</v>
      </c>
      <c r="I12" s="16">
        <v>15</v>
      </c>
      <c r="J12" s="7">
        <v>0</v>
      </c>
      <c r="K12" s="16">
        <v>15</v>
      </c>
      <c r="L12" s="7">
        <v>0</v>
      </c>
      <c r="M12" s="16">
        <v>15</v>
      </c>
      <c r="N12" s="7">
        <v>0.01</v>
      </c>
      <c r="O12" s="16">
        <f t="shared" si="0"/>
        <v>60</v>
      </c>
      <c r="P12" s="22">
        <f t="shared" si="1"/>
        <v>1</v>
      </c>
    </row>
    <row r="13" spans="1:16" ht="12.75">
      <c r="A13" t="s">
        <v>27</v>
      </c>
      <c r="B13" s="2" t="s">
        <v>28</v>
      </c>
      <c r="C13" s="17">
        <v>3784358</v>
      </c>
      <c r="D13" s="17">
        <v>610696</v>
      </c>
      <c r="E13" t="s">
        <v>172</v>
      </c>
      <c r="F13" s="2" t="s">
        <v>28</v>
      </c>
      <c r="G13" s="16">
        <v>15</v>
      </c>
      <c r="H13" s="7">
        <v>0</v>
      </c>
      <c r="I13" s="16">
        <v>15</v>
      </c>
      <c r="J13" s="7">
        <v>0.01</v>
      </c>
      <c r="K13" s="16">
        <v>15</v>
      </c>
      <c r="L13" s="7">
        <v>0</v>
      </c>
      <c r="M13" s="16">
        <v>15</v>
      </c>
      <c r="N13" s="7">
        <v>0.01</v>
      </c>
      <c r="O13" s="16">
        <f t="shared" si="0"/>
        <v>60</v>
      </c>
      <c r="P13" s="22">
        <f t="shared" si="1"/>
        <v>1</v>
      </c>
    </row>
    <row r="14" spans="1:16" ht="12.75">
      <c r="A14" t="s">
        <v>30</v>
      </c>
      <c r="B14" s="2" t="s">
        <v>31</v>
      </c>
      <c r="C14" s="17">
        <v>3693255</v>
      </c>
      <c r="D14" s="17">
        <v>658389</v>
      </c>
      <c r="E14" t="s">
        <v>32</v>
      </c>
      <c r="F14" s="2" t="s">
        <v>31</v>
      </c>
      <c r="G14" s="16">
        <v>15</v>
      </c>
      <c r="H14" s="7">
        <v>0.01</v>
      </c>
      <c r="I14" s="16">
        <v>15</v>
      </c>
      <c r="J14" s="7">
        <v>0.02</v>
      </c>
      <c r="K14" s="16">
        <v>12</v>
      </c>
      <c r="L14" s="7">
        <v>0.01</v>
      </c>
      <c r="M14" s="16">
        <v>15</v>
      </c>
      <c r="N14" s="7">
        <v>0.01</v>
      </c>
      <c r="O14" s="16">
        <f t="shared" si="0"/>
        <v>57</v>
      </c>
      <c r="P14" s="22">
        <f t="shared" si="1"/>
        <v>0.95</v>
      </c>
    </row>
    <row r="15" spans="1:16" ht="12.75">
      <c r="A15" t="s">
        <v>33</v>
      </c>
      <c r="B15" s="2" t="s">
        <v>31</v>
      </c>
      <c r="C15" s="17">
        <v>3692520</v>
      </c>
      <c r="D15" s="17">
        <v>658711</v>
      </c>
      <c r="E15" t="s">
        <v>34</v>
      </c>
      <c r="F15" s="2" t="s">
        <v>31</v>
      </c>
      <c r="G15" s="16">
        <v>13</v>
      </c>
      <c r="H15" s="7">
        <v>0.01</v>
      </c>
      <c r="I15" s="16">
        <v>13</v>
      </c>
      <c r="J15" s="7">
        <v>0.01</v>
      </c>
      <c r="K15" s="16">
        <v>12</v>
      </c>
      <c r="L15" s="7">
        <v>0.01</v>
      </c>
      <c r="M15" s="16">
        <v>12</v>
      </c>
      <c r="N15" s="7">
        <v>0.01</v>
      </c>
      <c r="O15" s="16">
        <f t="shared" si="0"/>
        <v>50</v>
      </c>
      <c r="P15" s="22">
        <f t="shared" si="1"/>
        <v>0.8333333333333334</v>
      </c>
    </row>
    <row r="16" spans="1:16" ht="12.75">
      <c r="A16" t="s">
        <v>36</v>
      </c>
      <c r="B16" s="2" t="s">
        <v>31</v>
      </c>
      <c r="C16" s="17">
        <v>3690944</v>
      </c>
      <c r="D16" s="17">
        <v>658375</v>
      </c>
      <c r="E16" t="s">
        <v>37</v>
      </c>
      <c r="F16" s="2" t="s">
        <v>31</v>
      </c>
      <c r="G16" s="16">
        <v>15</v>
      </c>
      <c r="H16" s="7">
        <v>0</v>
      </c>
      <c r="I16" s="16">
        <v>15</v>
      </c>
      <c r="J16" s="7">
        <v>0</v>
      </c>
      <c r="K16" s="16">
        <v>13</v>
      </c>
      <c r="L16" s="7">
        <v>0</v>
      </c>
      <c r="M16" s="16">
        <v>14</v>
      </c>
      <c r="N16" s="7">
        <v>0</v>
      </c>
      <c r="O16" s="16">
        <f t="shared" si="0"/>
        <v>57</v>
      </c>
      <c r="P16" s="22">
        <f t="shared" si="1"/>
        <v>0.95</v>
      </c>
    </row>
    <row r="17" spans="1:16" ht="12.75">
      <c r="A17" t="s">
        <v>38</v>
      </c>
      <c r="B17" s="2" t="s">
        <v>31</v>
      </c>
      <c r="C17" s="17">
        <v>3693858</v>
      </c>
      <c r="D17" s="17">
        <v>659490</v>
      </c>
      <c r="E17" t="s">
        <v>39</v>
      </c>
      <c r="F17" s="2" t="s">
        <v>31</v>
      </c>
      <c r="G17" s="16">
        <v>13</v>
      </c>
      <c r="H17" s="7">
        <v>0.01</v>
      </c>
      <c r="I17" s="16">
        <v>15</v>
      </c>
      <c r="J17" s="7">
        <v>0.01</v>
      </c>
      <c r="K17" s="16">
        <v>11</v>
      </c>
      <c r="L17" s="7" t="s">
        <v>302</v>
      </c>
      <c r="M17" s="16">
        <v>14</v>
      </c>
      <c r="N17" s="7">
        <v>0.01</v>
      </c>
      <c r="O17" s="16">
        <f t="shared" si="0"/>
        <v>53</v>
      </c>
      <c r="P17" s="22">
        <f t="shared" si="1"/>
        <v>0.8833333333333333</v>
      </c>
    </row>
    <row r="18" spans="1:16" ht="12.75">
      <c r="A18" t="s">
        <v>40</v>
      </c>
      <c r="B18" s="2" t="s">
        <v>41</v>
      </c>
      <c r="C18" s="17">
        <v>3855846</v>
      </c>
      <c r="D18" s="17">
        <v>371736</v>
      </c>
      <c r="E18" t="s">
        <v>173</v>
      </c>
      <c r="F18" s="2" t="s">
        <v>41</v>
      </c>
      <c r="G18" s="16">
        <v>14</v>
      </c>
      <c r="H18" s="7">
        <v>0.01</v>
      </c>
      <c r="I18" s="16">
        <v>7</v>
      </c>
      <c r="J18" s="7" t="s">
        <v>303</v>
      </c>
      <c r="K18" s="16"/>
      <c r="L18" s="7"/>
      <c r="M18" s="16">
        <v>11</v>
      </c>
      <c r="N18" s="7" t="s">
        <v>303</v>
      </c>
      <c r="O18" s="16">
        <f t="shared" si="0"/>
        <v>32</v>
      </c>
      <c r="P18" s="22">
        <f t="shared" si="1"/>
        <v>0.5333333333333333</v>
      </c>
    </row>
    <row r="19" spans="1:16" ht="12.75">
      <c r="A19" t="s">
        <v>44</v>
      </c>
      <c r="B19" s="2" t="s">
        <v>41</v>
      </c>
      <c r="C19" s="17">
        <v>3866851</v>
      </c>
      <c r="D19" s="17">
        <v>387723</v>
      </c>
      <c r="E19" t="s">
        <v>86</v>
      </c>
      <c r="F19" s="2" t="s">
        <v>45</v>
      </c>
      <c r="G19" s="16">
        <v>13</v>
      </c>
      <c r="H19" s="7">
        <v>0.01</v>
      </c>
      <c r="I19" s="16">
        <v>15</v>
      </c>
      <c r="J19" s="7">
        <v>0.01</v>
      </c>
      <c r="K19" s="16">
        <v>15</v>
      </c>
      <c r="L19" s="7">
        <v>0.01</v>
      </c>
      <c r="M19" s="16">
        <v>13</v>
      </c>
      <c r="N19" s="7">
        <v>0.01</v>
      </c>
      <c r="O19" s="16">
        <f t="shared" si="0"/>
        <v>56</v>
      </c>
      <c r="P19" s="22">
        <f t="shared" si="1"/>
        <v>0.9333333333333333</v>
      </c>
    </row>
    <row r="20" spans="1:16" ht="12.75">
      <c r="A20" t="s">
        <v>46</v>
      </c>
      <c r="B20" s="2" t="s">
        <v>47</v>
      </c>
      <c r="C20" s="17">
        <v>3782427</v>
      </c>
      <c r="D20" s="17">
        <v>393814</v>
      </c>
      <c r="E20" t="s">
        <v>174</v>
      </c>
      <c r="F20" s="2" t="s">
        <v>47</v>
      </c>
      <c r="G20" s="16">
        <v>14</v>
      </c>
      <c r="H20" s="7">
        <v>0.01</v>
      </c>
      <c r="I20" s="16">
        <v>13</v>
      </c>
      <c r="J20" s="7">
        <v>0</v>
      </c>
      <c r="K20" s="16">
        <v>15</v>
      </c>
      <c r="L20" s="7">
        <v>0.01</v>
      </c>
      <c r="M20" s="16">
        <v>15</v>
      </c>
      <c r="N20" s="7">
        <v>0.01</v>
      </c>
      <c r="O20" s="16">
        <f t="shared" si="0"/>
        <v>57</v>
      </c>
      <c r="P20" s="22">
        <f t="shared" si="1"/>
        <v>0.95</v>
      </c>
    </row>
    <row r="21" spans="1:16" ht="12.75">
      <c r="A21" t="s">
        <v>49</v>
      </c>
      <c r="B21" s="2" t="s">
        <v>47</v>
      </c>
      <c r="C21" s="17">
        <v>3780864</v>
      </c>
      <c r="D21" s="17">
        <v>393053</v>
      </c>
      <c r="E21" t="s">
        <v>246</v>
      </c>
      <c r="F21" s="2"/>
      <c r="G21" s="16">
        <v>11</v>
      </c>
      <c r="H21" s="7" t="s">
        <v>303</v>
      </c>
      <c r="I21" s="16">
        <v>15</v>
      </c>
      <c r="J21" s="7">
        <v>0.01</v>
      </c>
      <c r="K21" s="16">
        <v>15</v>
      </c>
      <c r="L21" s="7">
        <v>0.02</v>
      </c>
      <c r="M21" s="16">
        <v>13</v>
      </c>
      <c r="N21" s="7">
        <v>0.01</v>
      </c>
      <c r="O21" s="16">
        <f t="shared" si="0"/>
        <v>54</v>
      </c>
      <c r="P21" s="22">
        <f t="shared" si="1"/>
        <v>0.9</v>
      </c>
    </row>
    <row r="22" spans="1:16" ht="12.75">
      <c r="A22" t="s">
        <v>50</v>
      </c>
      <c r="B22" s="2" t="s">
        <v>51</v>
      </c>
      <c r="C22" s="17">
        <v>3637122</v>
      </c>
      <c r="D22" s="17">
        <v>489216</v>
      </c>
      <c r="E22" t="s">
        <v>52</v>
      </c>
      <c r="F22" s="2" t="s">
        <v>51</v>
      </c>
      <c r="G22" s="16">
        <v>9</v>
      </c>
      <c r="H22" s="7" t="s">
        <v>303</v>
      </c>
      <c r="I22" s="16">
        <v>14</v>
      </c>
      <c r="J22" s="7">
        <v>0</v>
      </c>
      <c r="K22" s="16">
        <v>12</v>
      </c>
      <c r="L22" s="7">
        <v>0</v>
      </c>
      <c r="M22" s="16">
        <v>15</v>
      </c>
      <c r="N22" s="7">
        <v>0.01</v>
      </c>
      <c r="O22" s="16">
        <f t="shared" si="0"/>
        <v>50</v>
      </c>
      <c r="P22" s="22">
        <f t="shared" si="1"/>
        <v>0.8333333333333334</v>
      </c>
    </row>
    <row r="23" spans="1:16" ht="12.75">
      <c r="A23" t="s">
        <v>54</v>
      </c>
      <c r="B23" s="2" t="s">
        <v>56</v>
      </c>
      <c r="C23" s="17">
        <v>3731000</v>
      </c>
      <c r="D23" s="17">
        <v>696737</v>
      </c>
      <c r="E23" t="s">
        <v>57</v>
      </c>
      <c r="F23" s="2" t="s">
        <v>55</v>
      </c>
      <c r="G23" s="16">
        <v>13</v>
      </c>
      <c r="H23" s="7">
        <v>0.01</v>
      </c>
      <c r="I23" s="16">
        <v>12</v>
      </c>
      <c r="J23" s="7">
        <v>0</v>
      </c>
      <c r="K23" s="16">
        <v>11</v>
      </c>
      <c r="L23" s="7" t="s">
        <v>303</v>
      </c>
      <c r="M23" s="16">
        <v>13</v>
      </c>
      <c r="N23" s="7">
        <v>0</v>
      </c>
      <c r="O23" s="16">
        <f t="shared" si="0"/>
        <v>49</v>
      </c>
      <c r="P23" s="22">
        <f t="shared" si="1"/>
        <v>0.8166666666666667</v>
      </c>
    </row>
    <row r="24" spans="1:16" ht="12.75">
      <c r="A24" t="s">
        <v>58</v>
      </c>
      <c r="B24" s="2" t="s">
        <v>60</v>
      </c>
      <c r="C24" s="17">
        <v>3789473</v>
      </c>
      <c r="D24" s="17">
        <v>536014</v>
      </c>
      <c r="E24" t="s">
        <v>61</v>
      </c>
      <c r="F24" s="2" t="s">
        <v>59</v>
      </c>
      <c r="G24" s="16">
        <v>15</v>
      </c>
      <c r="H24" s="7">
        <v>0</v>
      </c>
      <c r="I24" s="16">
        <v>14</v>
      </c>
      <c r="J24" s="7">
        <v>0</v>
      </c>
      <c r="K24" s="16">
        <v>15</v>
      </c>
      <c r="L24" s="7">
        <v>0</v>
      </c>
      <c r="M24" s="16">
        <v>14</v>
      </c>
      <c r="N24" s="7">
        <v>0.01</v>
      </c>
      <c r="O24" s="16">
        <f t="shared" si="0"/>
        <v>58</v>
      </c>
      <c r="P24" s="22">
        <f t="shared" si="1"/>
        <v>0.9666666666666667</v>
      </c>
    </row>
    <row r="25" spans="1:16" ht="12.75">
      <c r="A25" t="s">
        <v>62</v>
      </c>
      <c r="B25" s="2" t="s">
        <v>63</v>
      </c>
      <c r="C25" s="17">
        <v>3738007</v>
      </c>
      <c r="D25" s="17">
        <v>488916</v>
      </c>
      <c r="E25" t="s">
        <v>249</v>
      </c>
      <c r="F25" s="2"/>
      <c r="G25" s="16"/>
      <c r="H25" s="7"/>
      <c r="I25" s="16">
        <v>14</v>
      </c>
      <c r="J25" s="7">
        <v>0.01</v>
      </c>
      <c r="K25" s="16">
        <v>11</v>
      </c>
      <c r="L25" s="7" t="s">
        <v>304</v>
      </c>
      <c r="M25" s="16">
        <v>14</v>
      </c>
      <c r="N25" s="7">
        <v>0.04</v>
      </c>
      <c r="O25" s="16">
        <f t="shared" si="0"/>
        <v>39</v>
      </c>
      <c r="P25" s="22">
        <f t="shared" si="1"/>
        <v>0.65</v>
      </c>
    </row>
    <row r="26" spans="1:16" ht="12.75">
      <c r="A26" t="s">
        <v>68</v>
      </c>
      <c r="B26" s="2" t="s">
        <v>70</v>
      </c>
      <c r="C26" s="17">
        <v>3762547</v>
      </c>
      <c r="D26" s="17">
        <v>497871</v>
      </c>
      <c r="E26" s="1" t="s">
        <v>250</v>
      </c>
      <c r="F26" s="2" t="s">
        <v>69</v>
      </c>
      <c r="G26" s="16">
        <v>14</v>
      </c>
      <c r="H26" s="7">
        <v>0</v>
      </c>
      <c r="I26" s="16">
        <v>13</v>
      </c>
      <c r="J26" s="7">
        <v>0</v>
      </c>
      <c r="K26" s="16">
        <v>15</v>
      </c>
      <c r="L26" s="7">
        <v>0</v>
      </c>
      <c r="M26" s="16">
        <v>13</v>
      </c>
      <c r="N26" s="7">
        <v>0.01</v>
      </c>
      <c r="O26" s="16">
        <f t="shared" si="0"/>
        <v>55</v>
      </c>
      <c r="P26" s="22">
        <f t="shared" si="1"/>
        <v>0.9166666666666666</v>
      </c>
    </row>
    <row r="27" spans="1:16" ht="12.75">
      <c r="A27" t="s">
        <v>71</v>
      </c>
      <c r="B27" s="2" t="s">
        <v>70</v>
      </c>
      <c r="C27" s="17">
        <v>3772372</v>
      </c>
      <c r="D27" s="17">
        <v>503485</v>
      </c>
      <c r="E27" t="s">
        <v>248</v>
      </c>
      <c r="F27" s="2" t="s">
        <v>69</v>
      </c>
      <c r="G27" s="16">
        <v>15</v>
      </c>
      <c r="H27" s="7">
        <v>0</v>
      </c>
      <c r="I27" s="16">
        <v>14</v>
      </c>
      <c r="J27" s="7">
        <v>0</v>
      </c>
      <c r="K27" s="16">
        <v>14</v>
      </c>
      <c r="L27" s="7">
        <v>0</v>
      </c>
      <c r="M27" s="16">
        <v>15</v>
      </c>
      <c r="N27" s="7">
        <v>0.01</v>
      </c>
      <c r="O27" s="16">
        <f t="shared" si="0"/>
        <v>58</v>
      </c>
      <c r="P27" s="22">
        <f t="shared" si="1"/>
        <v>0.9666666666666667</v>
      </c>
    </row>
    <row r="28" spans="1:16" ht="12.75">
      <c r="A28" t="s">
        <v>74</v>
      </c>
      <c r="B28" s="2" t="s">
        <v>75</v>
      </c>
      <c r="C28" s="17">
        <v>3867421</v>
      </c>
      <c r="D28" s="17">
        <v>414850</v>
      </c>
      <c r="E28" t="s">
        <v>76</v>
      </c>
      <c r="F28" s="2" t="s">
        <v>75</v>
      </c>
      <c r="G28" s="16">
        <v>13</v>
      </c>
      <c r="H28" s="7">
        <v>0.01</v>
      </c>
      <c r="I28" s="16">
        <v>14</v>
      </c>
      <c r="J28" s="7">
        <v>0</v>
      </c>
      <c r="K28" s="16">
        <v>15</v>
      </c>
      <c r="L28" s="7">
        <v>0.01</v>
      </c>
      <c r="M28" s="16">
        <v>14</v>
      </c>
      <c r="N28" s="7">
        <v>0.01</v>
      </c>
      <c r="O28" s="16">
        <f t="shared" si="0"/>
        <v>56</v>
      </c>
      <c r="P28" s="22">
        <f t="shared" si="1"/>
        <v>0.9333333333333333</v>
      </c>
    </row>
    <row r="29" spans="1:16" ht="12.75">
      <c r="A29" t="s">
        <v>77</v>
      </c>
      <c r="B29" s="2" t="s">
        <v>79</v>
      </c>
      <c r="C29" s="17">
        <v>3868718</v>
      </c>
      <c r="D29" s="17">
        <v>499924</v>
      </c>
      <c r="E29" t="s">
        <v>84</v>
      </c>
      <c r="F29" s="2" t="s">
        <v>78</v>
      </c>
      <c r="G29" s="16">
        <v>13</v>
      </c>
      <c r="H29" s="7">
        <v>0.01</v>
      </c>
      <c r="I29" s="16">
        <v>15</v>
      </c>
      <c r="J29" s="7">
        <v>0.01</v>
      </c>
      <c r="K29" s="16">
        <v>14</v>
      </c>
      <c r="L29" s="7">
        <v>0.02</v>
      </c>
      <c r="M29" s="16">
        <v>14</v>
      </c>
      <c r="N29" s="7">
        <v>0.01</v>
      </c>
      <c r="O29" s="16">
        <f t="shared" si="0"/>
        <v>56</v>
      </c>
      <c r="P29" s="22">
        <f t="shared" si="1"/>
        <v>0.9333333333333333</v>
      </c>
    </row>
    <row r="30" spans="1:16" ht="12.75">
      <c r="A30" t="s">
        <v>275</v>
      </c>
      <c r="C30" s="17"/>
      <c r="D30" s="17"/>
      <c r="G30" s="16"/>
      <c r="H30" s="7"/>
      <c r="I30" s="16"/>
      <c r="J30" s="7"/>
      <c r="K30" s="16"/>
      <c r="L30" s="7"/>
      <c r="M30" s="16"/>
      <c r="N30" s="7"/>
      <c r="O30" s="16"/>
      <c r="P30" s="23">
        <f>AVERAGE(P6:P29)</f>
        <v>0.8687499999999999</v>
      </c>
    </row>
    <row r="31" ht="12.75">
      <c r="A31" s="3" t="s">
        <v>247</v>
      </c>
    </row>
  </sheetData>
  <mergeCells count="7">
    <mergeCell ref="O4:P4"/>
    <mergeCell ref="A1:N1"/>
    <mergeCell ref="A2:N2"/>
    <mergeCell ref="G4:H4"/>
    <mergeCell ref="I4:J4"/>
    <mergeCell ref="K4:L4"/>
    <mergeCell ref="M4:N4"/>
  </mergeCells>
  <printOptions horizontalCentered="1"/>
  <pageMargins left="0.25" right="0.25" top="0.5" bottom="0.5" header="0" footer="0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selection activeCell="A1" sqref="A1:V1"/>
    </sheetView>
  </sheetViews>
  <sheetFormatPr defaultColWidth="9.140625" defaultRowHeight="12.75"/>
  <cols>
    <col min="1" max="1" width="11.140625" style="0" bestFit="1" customWidth="1"/>
    <col min="2" max="2" width="13.421875" style="0" customWidth="1"/>
    <col min="3" max="3" width="8.00390625" style="0" bestFit="1" customWidth="1"/>
    <col min="4" max="4" width="7.00390625" style="0" bestFit="1" customWidth="1"/>
    <col min="5" max="5" width="25.7109375" style="0" bestFit="1" customWidth="1"/>
    <col min="6" max="6" width="13.8515625" style="0" customWidth="1"/>
    <col min="7" max="7" width="4.28125" style="0" bestFit="1" customWidth="1"/>
    <col min="8" max="8" width="4.57421875" style="0" bestFit="1" customWidth="1"/>
    <col min="9" max="9" width="9.57421875" style="0" customWidth="1"/>
    <col min="10" max="11" width="4.28125" style="0" bestFit="1" customWidth="1"/>
    <col min="12" max="12" width="8.421875" style="0" customWidth="1"/>
    <col min="13" max="13" width="7.8515625" style="0" customWidth="1"/>
    <col min="14" max="14" width="8.8515625" style="0" bestFit="1" customWidth="1"/>
  </cols>
  <sheetData>
    <row r="1" spans="1:14" ht="15">
      <c r="A1" s="39" t="s">
        <v>180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5" t="s">
        <v>181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7:15" ht="12.75">
      <c r="G4" s="38" t="s">
        <v>178</v>
      </c>
      <c r="H4" s="38"/>
      <c r="I4" s="38"/>
      <c r="J4" s="38" t="s">
        <v>179</v>
      </c>
      <c r="K4" s="38"/>
      <c r="L4" s="38"/>
      <c r="N4" s="19" t="s">
        <v>272</v>
      </c>
      <c r="O4" s="18"/>
    </row>
    <row r="5" spans="1:15" ht="12.75">
      <c r="A5" s="12" t="s">
        <v>0</v>
      </c>
      <c r="B5" s="12" t="s">
        <v>2</v>
      </c>
      <c r="C5" s="6" t="s">
        <v>82</v>
      </c>
      <c r="D5" s="6" t="s">
        <v>83</v>
      </c>
      <c r="E5" s="12" t="s">
        <v>81</v>
      </c>
      <c r="F5" s="12" t="s">
        <v>1</v>
      </c>
      <c r="G5" s="6" t="s">
        <v>3</v>
      </c>
      <c r="H5" s="6" t="s">
        <v>4</v>
      </c>
      <c r="I5" s="6" t="s">
        <v>176</v>
      </c>
      <c r="J5" s="6" t="s">
        <v>3</v>
      </c>
      <c r="K5" s="6" t="s">
        <v>4</v>
      </c>
      <c r="L5" s="6" t="s">
        <v>177</v>
      </c>
      <c r="M5" s="6" t="s">
        <v>165</v>
      </c>
      <c r="N5" s="19" t="s">
        <v>273</v>
      </c>
      <c r="O5" s="18"/>
    </row>
    <row r="6" spans="1:15" ht="12.75">
      <c r="A6" s="1" t="s">
        <v>91</v>
      </c>
      <c r="B6" s="24" t="s">
        <v>18</v>
      </c>
      <c r="C6" s="16">
        <v>3628738</v>
      </c>
      <c r="D6" s="16">
        <v>598631</v>
      </c>
      <c r="E6" s="1" t="s">
        <v>92</v>
      </c>
      <c r="F6" s="24" t="s">
        <v>18</v>
      </c>
      <c r="G6" s="13">
        <v>6.5</v>
      </c>
      <c r="H6" s="13">
        <v>6.4</v>
      </c>
      <c r="I6" s="2">
        <v>0</v>
      </c>
      <c r="J6" s="13">
        <v>4.7</v>
      </c>
      <c r="K6" s="13">
        <v>4</v>
      </c>
      <c r="L6" s="2">
        <v>0</v>
      </c>
      <c r="M6" s="2">
        <v>7176</v>
      </c>
      <c r="N6" s="22">
        <f>(M6/8760)</f>
        <v>0.8191780821917808</v>
      </c>
      <c r="O6" s="18"/>
    </row>
    <row r="7" spans="1:15" ht="12.75">
      <c r="A7" s="1" t="s">
        <v>40</v>
      </c>
      <c r="B7" s="24" t="s">
        <v>41</v>
      </c>
      <c r="C7" s="16">
        <v>3855846</v>
      </c>
      <c r="D7" s="16">
        <v>371736</v>
      </c>
      <c r="E7" s="1" t="s">
        <v>42</v>
      </c>
      <c r="F7" s="24" t="s">
        <v>41</v>
      </c>
      <c r="G7" s="13">
        <v>7</v>
      </c>
      <c r="H7" s="13">
        <v>6.9</v>
      </c>
      <c r="I7" s="2">
        <v>0</v>
      </c>
      <c r="J7" s="13">
        <v>5.2</v>
      </c>
      <c r="K7" s="13">
        <v>4.8</v>
      </c>
      <c r="L7" s="2">
        <v>0</v>
      </c>
      <c r="M7" s="2">
        <v>8142</v>
      </c>
      <c r="N7" s="22">
        <f>(M7/8760)</f>
        <v>0.9294520547945205</v>
      </c>
      <c r="O7" s="18"/>
    </row>
    <row r="8" spans="1:15" ht="12.75">
      <c r="A8" s="1" t="s">
        <v>93</v>
      </c>
      <c r="B8" s="24" t="s">
        <v>70</v>
      </c>
      <c r="C8" s="16">
        <v>3763379</v>
      </c>
      <c r="D8" s="16">
        <v>496153</v>
      </c>
      <c r="E8" s="1" t="s">
        <v>269</v>
      </c>
      <c r="F8" s="24" t="s">
        <v>69</v>
      </c>
      <c r="G8" s="13">
        <v>1.5</v>
      </c>
      <c r="H8" s="13">
        <v>1.5</v>
      </c>
      <c r="I8" s="2">
        <v>0</v>
      </c>
      <c r="J8" s="13">
        <v>1.1</v>
      </c>
      <c r="K8" s="13">
        <v>0.9</v>
      </c>
      <c r="L8" s="2">
        <v>0</v>
      </c>
      <c r="M8" s="2">
        <v>83</v>
      </c>
      <c r="N8" s="22">
        <f>(M8/120)</f>
        <v>0.6916666666666667</v>
      </c>
      <c r="O8" s="18"/>
    </row>
    <row r="9" spans="1:15" ht="12.75">
      <c r="A9" s="1" t="s">
        <v>94</v>
      </c>
      <c r="B9" s="24" t="s">
        <v>70</v>
      </c>
      <c r="C9" s="16">
        <v>3763656</v>
      </c>
      <c r="D9" s="16">
        <v>496845</v>
      </c>
      <c r="E9" s="1" t="s">
        <v>270</v>
      </c>
      <c r="F9" s="24" t="s">
        <v>69</v>
      </c>
      <c r="G9" s="13">
        <v>4.4</v>
      </c>
      <c r="H9" s="13">
        <v>4.2</v>
      </c>
      <c r="I9" s="2">
        <v>0</v>
      </c>
      <c r="J9" s="13">
        <v>3.8</v>
      </c>
      <c r="K9" s="13">
        <v>3.7</v>
      </c>
      <c r="L9" s="2">
        <v>0</v>
      </c>
      <c r="M9" s="2">
        <v>8310</v>
      </c>
      <c r="N9" s="22">
        <f>(M9/8760)</f>
        <v>0.9486301369863014</v>
      </c>
      <c r="O9" s="18"/>
    </row>
    <row r="10" spans="1:14" ht="12.75">
      <c r="A10" t="s">
        <v>275</v>
      </c>
      <c r="N10" s="23">
        <v>0.898</v>
      </c>
    </row>
    <row r="11" ht="12.75">
      <c r="A11" t="s">
        <v>271</v>
      </c>
    </row>
  </sheetData>
  <mergeCells count="4">
    <mergeCell ref="G4:I4"/>
    <mergeCell ref="J4:L4"/>
    <mergeCell ref="A1:N1"/>
    <mergeCell ref="A2:N2"/>
  </mergeCells>
  <printOptions horizontalCentered="1"/>
  <pageMargins left="0.25" right="0.25" top="0.5" bottom="0.5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A17" sqref="A17"/>
    </sheetView>
  </sheetViews>
  <sheetFormatPr defaultColWidth="9.140625" defaultRowHeight="12.75"/>
  <cols>
    <col min="1" max="1" width="12.140625" style="0" bestFit="1" customWidth="1"/>
    <col min="2" max="2" width="14.7109375" style="0" bestFit="1" customWidth="1"/>
    <col min="3" max="3" width="8.00390625" style="0" bestFit="1" customWidth="1"/>
    <col min="4" max="4" width="7.00390625" style="0" bestFit="1" customWidth="1"/>
    <col min="5" max="5" width="40.28125" style="0" bestFit="1" customWidth="1"/>
    <col min="6" max="6" width="20.28125" style="0" bestFit="1" customWidth="1"/>
    <col min="7" max="7" width="8.421875" style="0" bestFit="1" customWidth="1"/>
    <col min="8" max="8" width="6.28125" style="0" bestFit="1" customWidth="1"/>
    <col min="9" max="9" width="5.57421875" style="0" bestFit="1" customWidth="1"/>
    <col min="10" max="10" width="10.00390625" style="0" customWidth="1"/>
    <col min="11" max="11" width="7.00390625" style="0" customWidth="1"/>
    <col min="12" max="12" width="5.57421875" style="0" bestFit="1" customWidth="1"/>
    <col min="13" max="13" width="10.8515625" style="0" customWidth="1"/>
    <col min="14" max="14" width="6.00390625" style="0" customWidth="1"/>
    <col min="15" max="15" width="5.57421875" style="0" bestFit="1" customWidth="1"/>
    <col min="16" max="16" width="6.28125" style="0" bestFit="1" customWidth="1"/>
    <col min="17" max="17" width="8.8515625" style="0" bestFit="1" customWidth="1"/>
  </cols>
  <sheetData>
    <row r="1" spans="1:17" ht="15">
      <c r="A1" s="39" t="s">
        <v>195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.75">
      <c r="A2" s="35" t="s">
        <v>196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5"/>
      <c r="B4" s="25"/>
      <c r="C4" s="25"/>
      <c r="D4" s="25"/>
      <c r="E4" s="25"/>
      <c r="F4" s="25"/>
      <c r="G4" s="15" t="s">
        <v>236</v>
      </c>
      <c r="H4" s="38" t="s">
        <v>191</v>
      </c>
      <c r="I4" s="40"/>
      <c r="J4" s="40"/>
      <c r="K4" s="38" t="s">
        <v>188</v>
      </c>
      <c r="L4" s="41"/>
      <c r="M4" s="38"/>
      <c r="N4" s="38" t="s">
        <v>186</v>
      </c>
      <c r="O4" s="41"/>
      <c r="P4" s="6"/>
      <c r="Q4" s="19" t="s">
        <v>272</v>
      </c>
    </row>
    <row r="5" spans="1:17" ht="12.75">
      <c r="A5" s="12" t="s">
        <v>0</v>
      </c>
      <c r="B5" s="12" t="s">
        <v>2</v>
      </c>
      <c r="C5" s="6" t="s">
        <v>82</v>
      </c>
      <c r="D5" s="6" t="s">
        <v>83</v>
      </c>
      <c r="E5" s="12" t="s">
        <v>81</v>
      </c>
      <c r="F5" s="12" t="s">
        <v>1</v>
      </c>
      <c r="G5" s="6" t="s">
        <v>187</v>
      </c>
      <c r="H5" s="6" t="s">
        <v>3</v>
      </c>
      <c r="I5" s="6" t="s">
        <v>4</v>
      </c>
      <c r="J5" s="6" t="s">
        <v>190</v>
      </c>
      <c r="K5" s="6" t="s">
        <v>3</v>
      </c>
      <c r="L5" s="6" t="s">
        <v>4</v>
      </c>
      <c r="M5" s="6" t="s">
        <v>189</v>
      </c>
      <c r="N5" s="6" t="s">
        <v>3</v>
      </c>
      <c r="O5" s="6" t="s">
        <v>4</v>
      </c>
      <c r="P5" s="6" t="s">
        <v>192</v>
      </c>
      <c r="Q5" s="19" t="s">
        <v>273</v>
      </c>
    </row>
    <row r="6" spans="1:17" ht="12.75">
      <c r="A6" s="27" t="s">
        <v>95</v>
      </c>
      <c r="B6" s="28" t="s">
        <v>7</v>
      </c>
      <c r="C6" s="29">
        <v>3699183</v>
      </c>
      <c r="D6" s="29">
        <v>417056</v>
      </c>
      <c r="E6" s="27" t="s">
        <v>103</v>
      </c>
      <c r="F6" s="26"/>
      <c r="G6" s="30" t="s">
        <v>193</v>
      </c>
      <c r="H6" s="30">
        <v>0.008</v>
      </c>
      <c r="I6" s="30">
        <v>0.007</v>
      </c>
      <c r="J6" s="26">
        <v>0</v>
      </c>
      <c r="K6" s="30">
        <v>0.024</v>
      </c>
      <c r="L6" s="30">
        <v>0.023</v>
      </c>
      <c r="M6" s="26">
        <v>0</v>
      </c>
      <c r="N6" s="30">
        <v>0.058</v>
      </c>
      <c r="O6" s="30">
        <v>0.057</v>
      </c>
      <c r="P6" s="26">
        <v>3929</v>
      </c>
      <c r="Q6" s="31">
        <f>(P6/4032)</f>
        <v>0.9744543650793651</v>
      </c>
    </row>
    <row r="7" spans="1:17" ht="12.75">
      <c r="A7" s="27" t="s">
        <v>96</v>
      </c>
      <c r="B7" s="28" t="s">
        <v>97</v>
      </c>
      <c r="C7" s="29">
        <v>3686698</v>
      </c>
      <c r="D7" s="29">
        <v>456692</v>
      </c>
      <c r="E7" s="27" t="s">
        <v>183</v>
      </c>
      <c r="F7" s="26"/>
      <c r="G7" s="30">
        <v>0.002</v>
      </c>
      <c r="H7" s="30">
        <v>0.008</v>
      </c>
      <c r="I7" s="30">
        <v>0.004</v>
      </c>
      <c r="J7" s="26">
        <v>0</v>
      </c>
      <c r="K7" s="30">
        <v>0.068</v>
      </c>
      <c r="L7" s="30">
        <v>0.049</v>
      </c>
      <c r="M7" s="26">
        <v>0</v>
      </c>
      <c r="N7" s="30">
        <v>0.098</v>
      </c>
      <c r="O7" s="30">
        <v>0.07</v>
      </c>
      <c r="P7" s="26">
        <v>8000</v>
      </c>
      <c r="Q7" s="31">
        <f aca="true" t="shared" si="0" ref="Q7:Q17">(P7/8760)</f>
        <v>0.91324200913242</v>
      </c>
    </row>
    <row r="8" spans="1:17" ht="12.75">
      <c r="A8" s="27" t="s">
        <v>17</v>
      </c>
      <c r="B8" s="28" t="s">
        <v>18</v>
      </c>
      <c r="C8" s="29">
        <v>3638503</v>
      </c>
      <c r="D8" s="29">
        <v>595649</v>
      </c>
      <c r="E8" s="27" t="s">
        <v>19</v>
      </c>
      <c r="F8" s="28" t="s">
        <v>182</v>
      </c>
      <c r="G8" s="30">
        <v>0.002</v>
      </c>
      <c r="H8" s="30">
        <v>0.012</v>
      </c>
      <c r="I8" s="30">
        <v>0.011</v>
      </c>
      <c r="J8" s="26">
        <v>0</v>
      </c>
      <c r="K8" s="30">
        <v>0.033</v>
      </c>
      <c r="L8" s="30">
        <v>0.026</v>
      </c>
      <c r="M8" s="26">
        <v>0</v>
      </c>
      <c r="N8" s="30">
        <v>0.04</v>
      </c>
      <c r="O8" s="30">
        <v>0.037</v>
      </c>
      <c r="P8" s="26">
        <v>7950</v>
      </c>
      <c r="Q8" s="31">
        <f t="shared" si="0"/>
        <v>0.9075342465753424</v>
      </c>
    </row>
    <row r="9" spans="1:17" ht="12.75">
      <c r="A9" s="27" t="s">
        <v>20</v>
      </c>
      <c r="B9" s="28" t="s">
        <v>18</v>
      </c>
      <c r="C9" s="29">
        <v>3645337</v>
      </c>
      <c r="D9" s="29">
        <v>625554</v>
      </c>
      <c r="E9" s="27" t="s">
        <v>21</v>
      </c>
      <c r="F9" s="26"/>
      <c r="G9" s="30" t="s">
        <v>194</v>
      </c>
      <c r="H9" s="30">
        <v>0.008</v>
      </c>
      <c r="I9" s="30">
        <v>0.007</v>
      </c>
      <c r="J9" s="26">
        <v>0</v>
      </c>
      <c r="K9" s="30">
        <v>0.028</v>
      </c>
      <c r="L9" s="30">
        <v>0.024</v>
      </c>
      <c r="M9" s="26">
        <v>0</v>
      </c>
      <c r="N9" s="30">
        <v>0.043</v>
      </c>
      <c r="O9" s="30">
        <v>0.033</v>
      </c>
      <c r="P9" s="26">
        <v>6551</v>
      </c>
      <c r="Q9" s="31">
        <f t="shared" si="0"/>
        <v>0.7478310502283105</v>
      </c>
    </row>
    <row r="10" spans="1:17" ht="12.75">
      <c r="A10" s="27" t="s">
        <v>184</v>
      </c>
      <c r="B10" s="28" t="s">
        <v>18</v>
      </c>
      <c r="C10" s="29">
        <v>3645337</v>
      </c>
      <c r="D10" s="29">
        <v>625554</v>
      </c>
      <c r="E10" s="27" t="s">
        <v>21</v>
      </c>
      <c r="F10" s="26"/>
      <c r="G10" s="30" t="s">
        <v>194</v>
      </c>
      <c r="H10" s="30">
        <v>0.005</v>
      </c>
      <c r="I10" s="30">
        <v>0.004</v>
      </c>
      <c r="J10" s="26">
        <v>0</v>
      </c>
      <c r="K10" s="30">
        <v>0.016</v>
      </c>
      <c r="L10" s="30">
        <v>0.014</v>
      </c>
      <c r="M10" s="26">
        <v>0</v>
      </c>
      <c r="N10" s="30">
        <v>0.022</v>
      </c>
      <c r="O10" s="30">
        <v>0.022</v>
      </c>
      <c r="P10" s="26">
        <v>3847</v>
      </c>
      <c r="Q10" s="31">
        <f>(P10/4008)</f>
        <v>0.9598303393213573</v>
      </c>
    </row>
    <row r="11" spans="1:17" ht="12.75">
      <c r="A11" s="27" t="s">
        <v>33</v>
      </c>
      <c r="B11" s="28" t="s">
        <v>31</v>
      </c>
      <c r="C11" s="29">
        <v>3692520</v>
      </c>
      <c r="D11" s="29">
        <v>658711</v>
      </c>
      <c r="E11" s="27" t="s">
        <v>34</v>
      </c>
      <c r="F11" s="28" t="s">
        <v>31</v>
      </c>
      <c r="G11" s="30" t="s">
        <v>194</v>
      </c>
      <c r="H11" s="30">
        <v>0.024</v>
      </c>
      <c r="I11" s="30">
        <v>0.015</v>
      </c>
      <c r="J11" s="26">
        <v>0</v>
      </c>
      <c r="K11" s="30">
        <v>0.081</v>
      </c>
      <c r="L11" s="30">
        <v>0.077</v>
      </c>
      <c r="M11" s="26">
        <v>0</v>
      </c>
      <c r="N11" s="30">
        <v>0.144</v>
      </c>
      <c r="O11" s="30">
        <v>0.128</v>
      </c>
      <c r="P11" s="26">
        <v>5139</v>
      </c>
      <c r="Q11" s="31">
        <f t="shared" si="0"/>
        <v>0.5866438356164384</v>
      </c>
    </row>
    <row r="12" spans="1:17" ht="12.75">
      <c r="A12" s="27" t="s">
        <v>40</v>
      </c>
      <c r="B12" s="28" t="s">
        <v>41</v>
      </c>
      <c r="C12" s="29">
        <v>3855846</v>
      </c>
      <c r="D12" s="29">
        <v>371736</v>
      </c>
      <c r="E12" s="27" t="s">
        <v>173</v>
      </c>
      <c r="F12" s="28" t="s">
        <v>41</v>
      </c>
      <c r="G12" s="30">
        <v>0.003</v>
      </c>
      <c r="H12" s="30">
        <v>0.011</v>
      </c>
      <c r="I12" s="30">
        <v>0.009</v>
      </c>
      <c r="J12" s="26">
        <v>0</v>
      </c>
      <c r="K12" s="30">
        <v>0.027</v>
      </c>
      <c r="L12" s="30">
        <v>0.021</v>
      </c>
      <c r="M12" s="26">
        <v>0</v>
      </c>
      <c r="N12" s="30">
        <v>0.061</v>
      </c>
      <c r="O12" s="30">
        <v>0.036</v>
      </c>
      <c r="P12" s="26">
        <v>7965</v>
      </c>
      <c r="Q12" s="31">
        <f t="shared" si="0"/>
        <v>0.9092465753424658</v>
      </c>
    </row>
    <row r="13" spans="1:17" ht="12.75">
      <c r="A13" s="27" t="s">
        <v>98</v>
      </c>
      <c r="B13" s="28" t="s">
        <v>63</v>
      </c>
      <c r="C13" s="29">
        <v>3767608</v>
      </c>
      <c r="D13" s="29">
        <v>485720</v>
      </c>
      <c r="E13" s="27" t="s">
        <v>185</v>
      </c>
      <c r="F13" s="28" t="s">
        <v>99</v>
      </c>
      <c r="G13" s="30">
        <v>0.004</v>
      </c>
      <c r="H13" s="30">
        <v>0.029</v>
      </c>
      <c r="I13" s="30">
        <v>0.017</v>
      </c>
      <c r="J13" s="26">
        <v>0</v>
      </c>
      <c r="K13" s="30">
        <v>0.099</v>
      </c>
      <c r="L13" s="30">
        <v>0.099</v>
      </c>
      <c r="M13" s="26">
        <v>0</v>
      </c>
      <c r="N13" s="30">
        <v>0.219</v>
      </c>
      <c r="O13" s="30">
        <v>0.13</v>
      </c>
      <c r="P13" s="26">
        <v>7510</v>
      </c>
      <c r="Q13" s="31">
        <f t="shared" si="0"/>
        <v>0.8573059360730594</v>
      </c>
    </row>
    <row r="14" spans="1:17" ht="12.75">
      <c r="A14" s="27" t="s">
        <v>100</v>
      </c>
      <c r="B14" s="28" t="s">
        <v>101</v>
      </c>
      <c r="C14" s="29">
        <v>3853504</v>
      </c>
      <c r="D14" s="29">
        <v>295318</v>
      </c>
      <c r="E14" s="27" t="s">
        <v>300</v>
      </c>
      <c r="F14" s="26"/>
      <c r="G14" s="30">
        <v>0.002</v>
      </c>
      <c r="H14" s="30">
        <v>0.006</v>
      </c>
      <c r="I14" s="30">
        <v>0.006</v>
      </c>
      <c r="J14" s="26">
        <v>0</v>
      </c>
      <c r="K14" s="30">
        <v>0.012</v>
      </c>
      <c r="L14" s="30">
        <v>0.01</v>
      </c>
      <c r="M14" s="26">
        <v>0</v>
      </c>
      <c r="N14" s="30">
        <v>0.018</v>
      </c>
      <c r="O14" s="30">
        <v>0.014</v>
      </c>
      <c r="P14" s="26">
        <v>8120</v>
      </c>
      <c r="Q14" s="31">
        <f t="shared" si="0"/>
        <v>0.9269406392694064</v>
      </c>
    </row>
    <row r="15" spans="1:17" ht="12.75">
      <c r="A15" s="27" t="s">
        <v>71</v>
      </c>
      <c r="B15" s="28" t="s">
        <v>70</v>
      </c>
      <c r="C15" s="29">
        <v>3772372</v>
      </c>
      <c r="D15" s="29">
        <v>503485</v>
      </c>
      <c r="E15" s="27" t="s">
        <v>170</v>
      </c>
      <c r="F15" s="28" t="s">
        <v>69</v>
      </c>
      <c r="G15" s="30">
        <v>0.003</v>
      </c>
      <c r="H15" s="30">
        <v>0.008</v>
      </c>
      <c r="I15" s="30">
        <v>0.008</v>
      </c>
      <c r="J15" s="26">
        <v>0</v>
      </c>
      <c r="K15" s="30">
        <v>0.036</v>
      </c>
      <c r="L15" s="30">
        <v>0.034</v>
      </c>
      <c r="M15" s="26">
        <v>0</v>
      </c>
      <c r="N15" s="30">
        <v>0.057</v>
      </c>
      <c r="O15" s="30">
        <v>0.046</v>
      </c>
      <c r="P15" s="26">
        <v>7841</v>
      </c>
      <c r="Q15" s="31">
        <f t="shared" si="0"/>
        <v>0.8950913242009132</v>
      </c>
    </row>
    <row r="16" spans="1:17" ht="12.75">
      <c r="A16" s="27" t="s">
        <v>102</v>
      </c>
      <c r="B16" s="28" t="s">
        <v>70</v>
      </c>
      <c r="C16" s="29">
        <v>3764672</v>
      </c>
      <c r="D16" s="29">
        <v>496666</v>
      </c>
      <c r="E16" s="27" t="s">
        <v>154</v>
      </c>
      <c r="F16" s="28" t="s">
        <v>69</v>
      </c>
      <c r="G16" s="30">
        <v>0.003</v>
      </c>
      <c r="H16" s="30">
        <v>0.01</v>
      </c>
      <c r="I16" s="30">
        <v>0.01</v>
      </c>
      <c r="J16" s="26">
        <v>0</v>
      </c>
      <c r="K16" s="30">
        <v>0.035</v>
      </c>
      <c r="L16" s="30">
        <v>0.034</v>
      </c>
      <c r="M16" s="26">
        <v>0</v>
      </c>
      <c r="N16" s="30">
        <v>0.073</v>
      </c>
      <c r="O16" s="30">
        <v>0.047</v>
      </c>
      <c r="P16" s="26">
        <v>8265</v>
      </c>
      <c r="Q16" s="31">
        <f t="shared" si="0"/>
        <v>0.9434931506849316</v>
      </c>
    </row>
    <row r="17" spans="1:17" ht="12.75">
      <c r="A17" s="27" t="s">
        <v>73</v>
      </c>
      <c r="B17" s="28" t="s">
        <v>70</v>
      </c>
      <c r="C17" s="29">
        <v>3741587</v>
      </c>
      <c r="D17" s="29">
        <v>516067</v>
      </c>
      <c r="E17" s="27" t="s">
        <v>85</v>
      </c>
      <c r="F17" s="26"/>
      <c r="G17" s="30">
        <v>0.002</v>
      </c>
      <c r="H17" s="30">
        <v>0.009</v>
      </c>
      <c r="I17" s="30">
        <v>0.008</v>
      </c>
      <c r="J17" s="26">
        <v>0</v>
      </c>
      <c r="K17" s="30">
        <v>0.034</v>
      </c>
      <c r="L17" s="30">
        <v>0.034</v>
      </c>
      <c r="M17" s="26">
        <v>0</v>
      </c>
      <c r="N17" s="30">
        <v>0.071</v>
      </c>
      <c r="O17" s="30">
        <v>0.062</v>
      </c>
      <c r="P17" s="26">
        <v>8166</v>
      </c>
      <c r="Q17" s="31">
        <f t="shared" si="0"/>
        <v>0.9321917808219178</v>
      </c>
    </row>
    <row r="18" spans="1:17" ht="12.75">
      <c r="A18" s="25" t="s">
        <v>275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2">
        <v>0.852</v>
      </c>
    </row>
    <row r="19" spans="1:17" ht="12.75">
      <c r="A19" s="33" t="s">
        <v>247</v>
      </c>
      <c r="B19" s="25"/>
      <c r="C19" s="27"/>
      <c r="D19" s="27"/>
      <c r="E19" s="27"/>
      <c r="F19" s="27"/>
      <c r="G19" s="27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ht="12.75">
      <c r="A20" t="s">
        <v>252</v>
      </c>
    </row>
  </sheetData>
  <mergeCells count="5">
    <mergeCell ref="A1:Q1"/>
    <mergeCell ref="H4:J4"/>
    <mergeCell ref="K4:M4"/>
    <mergeCell ref="N4:O4"/>
    <mergeCell ref="A2:Q2"/>
  </mergeCells>
  <printOptions horizontalCentered="1"/>
  <pageMargins left="0.25" right="0.25" top="0.5" bottom="0.5" header="0" footer="0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D1">
      <selection activeCell="K14" sqref="K14"/>
    </sheetView>
  </sheetViews>
  <sheetFormatPr defaultColWidth="9.140625" defaultRowHeight="12.75"/>
  <cols>
    <col min="1" max="1" width="11.8515625" style="0" customWidth="1"/>
    <col min="2" max="2" width="13.421875" style="0" bestFit="1" customWidth="1"/>
    <col min="3" max="3" width="8.00390625" style="0" bestFit="1" customWidth="1"/>
    <col min="4" max="4" width="7.00390625" style="0" bestFit="1" customWidth="1"/>
    <col min="5" max="5" width="40.28125" style="0" bestFit="1" customWidth="1"/>
    <col min="6" max="6" width="20.28125" style="0" bestFit="1" customWidth="1"/>
    <col min="7" max="7" width="8.421875" style="0" bestFit="1" customWidth="1"/>
    <col min="8" max="8" width="6.57421875" style="0" bestFit="1" customWidth="1"/>
    <col min="9" max="9" width="6.8515625" style="0" bestFit="1" customWidth="1"/>
    <col min="10" max="10" width="7.421875" style="0" bestFit="1" customWidth="1"/>
    <col min="11" max="11" width="8.8515625" style="0" bestFit="1" customWidth="1"/>
  </cols>
  <sheetData>
    <row r="1" spans="1:11" ht="15">
      <c r="A1" s="39" t="s">
        <v>198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5" t="s">
        <v>199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7:11" ht="12.75">
      <c r="G4" s="15" t="s">
        <v>236</v>
      </c>
      <c r="H4" s="38" t="s">
        <v>186</v>
      </c>
      <c r="I4" s="38"/>
      <c r="K4" s="19" t="s">
        <v>272</v>
      </c>
    </row>
    <row r="5" spans="1:11" ht="12.75">
      <c r="A5" s="12" t="s">
        <v>0</v>
      </c>
      <c r="B5" s="12" t="s">
        <v>2</v>
      </c>
      <c r="C5" s="6" t="s">
        <v>82</v>
      </c>
      <c r="D5" s="6" t="s">
        <v>83</v>
      </c>
      <c r="E5" s="12" t="s">
        <v>81</v>
      </c>
      <c r="F5" s="12" t="s">
        <v>1</v>
      </c>
      <c r="G5" s="6" t="s">
        <v>5</v>
      </c>
      <c r="H5" s="6" t="s">
        <v>237</v>
      </c>
      <c r="I5" s="6" t="s">
        <v>238</v>
      </c>
      <c r="J5" s="6" t="s">
        <v>242</v>
      </c>
      <c r="K5" s="19" t="s">
        <v>273</v>
      </c>
    </row>
    <row r="6" spans="1:11" ht="12.75">
      <c r="A6" s="1" t="s">
        <v>95</v>
      </c>
      <c r="B6" s="1" t="s">
        <v>7</v>
      </c>
      <c r="C6" s="17">
        <v>3699183</v>
      </c>
      <c r="D6" s="17">
        <v>417056</v>
      </c>
      <c r="E6" s="1" t="s">
        <v>103</v>
      </c>
      <c r="G6" s="14">
        <v>0.005</v>
      </c>
      <c r="H6" s="14">
        <v>0.038</v>
      </c>
      <c r="I6" s="14">
        <v>0.034</v>
      </c>
      <c r="J6" s="2">
        <v>7003</v>
      </c>
      <c r="K6" s="22">
        <f aca="true" t="shared" si="0" ref="K6:K13">(J6/8760)</f>
        <v>0.7994292237442923</v>
      </c>
    </row>
    <row r="7" spans="1:11" ht="12.75">
      <c r="A7" s="1" t="s">
        <v>96</v>
      </c>
      <c r="B7" s="1" t="s">
        <v>97</v>
      </c>
      <c r="C7" s="17">
        <v>3686698</v>
      </c>
      <c r="D7" s="17">
        <v>456692</v>
      </c>
      <c r="E7" s="1" t="s">
        <v>183</v>
      </c>
      <c r="G7" s="14" t="s">
        <v>193</v>
      </c>
      <c r="H7" s="14">
        <v>0.022</v>
      </c>
      <c r="I7" s="14">
        <v>0.022</v>
      </c>
      <c r="J7" s="2">
        <v>6453</v>
      </c>
      <c r="K7" s="22">
        <f t="shared" si="0"/>
        <v>0.7366438356164383</v>
      </c>
    </row>
    <row r="8" spans="1:11" ht="12.75">
      <c r="A8" s="1" t="s">
        <v>17</v>
      </c>
      <c r="B8" s="1" t="s">
        <v>18</v>
      </c>
      <c r="C8" s="17">
        <v>3638503</v>
      </c>
      <c r="D8" s="17">
        <v>595649</v>
      </c>
      <c r="E8" s="1" t="s">
        <v>19</v>
      </c>
      <c r="F8" s="1" t="s">
        <v>182</v>
      </c>
      <c r="G8" s="14">
        <v>0.01</v>
      </c>
      <c r="H8" s="14">
        <v>0.062</v>
      </c>
      <c r="I8" s="14">
        <v>0.059</v>
      </c>
      <c r="J8" s="2">
        <v>6658</v>
      </c>
      <c r="K8" s="22">
        <f t="shared" si="0"/>
        <v>0.7600456621004567</v>
      </c>
    </row>
    <row r="9" spans="1:11" ht="12.75">
      <c r="A9" s="1" t="s">
        <v>20</v>
      </c>
      <c r="B9" s="1" t="s">
        <v>18</v>
      </c>
      <c r="C9" s="17">
        <v>3645337</v>
      </c>
      <c r="D9" s="17">
        <v>625554</v>
      </c>
      <c r="E9" s="1" t="s">
        <v>21</v>
      </c>
      <c r="G9" s="14" t="s">
        <v>305</v>
      </c>
      <c r="H9" s="14">
        <v>0.032</v>
      </c>
      <c r="I9" s="14">
        <v>0.031</v>
      </c>
      <c r="J9" s="2">
        <v>6265</v>
      </c>
      <c r="K9" s="22">
        <f t="shared" si="0"/>
        <v>0.7151826484018264</v>
      </c>
    </row>
    <row r="10" spans="1:11" ht="12.75">
      <c r="A10" s="1" t="s">
        <v>184</v>
      </c>
      <c r="B10" s="1" t="s">
        <v>18</v>
      </c>
      <c r="C10" s="17">
        <v>3645337</v>
      </c>
      <c r="D10" s="17">
        <v>625554</v>
      </c>
      <c r="E10" s="1" t="s">
        <v>21</v>
      </c>
      <c r="G10" s="14" t="s">
        <v>193</v>
      </c>
      <c r="H10" s="14">
        <v>0.013</v>
      </c>
      <c r="I10" s="14">
        <v>0.011</v>
      </c>
      <c r="J10" s="2">
        <v>3513</v>
      </c>
      <c r="K10" s="22">
        <f>(J10/6168)</f>
        <v>0.5695525291828794</v>
      </c>
    </row>
    <row r="11" spans="1:11" ht="12.75">
      <c r="A11" s="1" t="s">
        <v>40</v>
      </c>
      <c r="B11" s="1" t="s">
        <v>41</v>
      </c>
      <c r="C11" s="17">
        <v>3855846</v>
      </c>
      <c r="D11" s="17">
        <v>371736</v>
      </c>
      <c r="E11" s="1" t="s">
        <v>42</v>
      </c>
      <c r="F11" s="1" t="s">
        <v>41</v>
      </c>
      <c r="G11" s="14">
        <v>0.017</v>
      </c>
      <c r="H11" s="14">
        <v>0.075</v>
      </c>
      <c r="I11" s="14">
        <v>0.073</v>
      </c>
      <c r="J11" s="2">
        <v>8216</v>
      </c>
      <c r="K11" s="22">
        <f t="shared" si="0"/>
        <v>0.9378995433789954</v>
      </c>
    </row>
    <row r="12" spans="1:11" ht="12.75">
      <c r="A12" s="1" t="s">
        <v>71</v>
      </c>
      <c r="B12" s="1" t="s">
        <v>70</v>
      </c>
      <c r="C12" s="17">
        <v>3772372</v>
      </c>
      <c r="D12" s="17">
        <v>503485</v>
      </c>
      <c r="E12" s="1" t="s">
        <v>197</v>
      </c>
      <c r="F12" s="1" t="s">
        <v>69</v>
      </c>
      <c r="G12" s="14">
        <v>0.014</v>
      </c>
      <c r="H12" s="14">
        <v>0.072</v>
      </c>
      <c r="I12" s="14">
        <v>0.07</v>
      </c>
      <c r="J12" s="2">
        <v>7348</v>
      </c>
      <c r="K12" s="22">
        <f t="shared" si="0"/>
        <v>0.8388127853881279</v>
      </c>
    </row>
    <row r="13" spans="1:11" ht="12.75">
      <c r="A13" s="1" t="s">
        <v>73</v>
      </c>
      <c r="B13" s="1" t="s">
        <v>70</v>
      </c>
      <c r="C13" s="17">
        <v>3741587</v>
      </c>
      <c r="D13" s="17">
        <v>516067</v>
      </c>
      <c r="E13" s="1" t="s">
        <v>85</v>
      </c>
      <c r="G13" s="14" t="s">
        <v>193</v>
      </c>
      <c r="H13" s="14">
        <v>0.022</v>
      </c>
      <c r="I13" s="14">
        <v>0.017</v>
      </c>
      <c r="J13" s="2">
        <v>2861</v>
      </c>
      <c r="K13" s="22">
        <f t="shared" si="0"/>
        <v>0.32659817351598175</v>
      </c>
    </row>
    <row r="14" spans="1:11" ht="12.75">
      <c r="A14" t="s">
        <v>275</v>
      </c>
      <c r="B14" s="1"/>
      <c r="C14" s="3"/>
      <c r="D14" s="3"/>
      <c r="E14" s="1"/>
      <c r="F14" s="1"/>
      <c r="G14" s="1"/>
      <c r="K14" s="23">
        <v>0.716</v>
      </c>
    </row>
    <row r="15" spans="1:7" ht="12.75">
      <c r="A15" s="3" t="s">
        <v>247</v>
      </c>
      <c r="B15" s="1"/>
      <c r="C15" s="3"/>
      <c r="D15" s="3"/>
      <c r="E15" s="1"/>
      <c r="F15" s="1"/>
      <c r="G15" s="1"/>
    </row>
    <row r="16" ht="12.75">
      <c r="A16" t="s">
        <v>252</v>
      </c>
    </row>
  </sheetData>
  <mergeCells count="3">
    <mergeCell ref="H4:I4"/>
    <mergeCell ref="A1:K1"/>
    <mergeCell ref="A2:K2"/>
  </mergeCells>
  <printOptions horizontalCentered="1"/>
  <pageMargins left="0.25" right="0.25" top="0.5" bottom="0.5" header="0" footer="0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5">
      <selection activeCell="A59" sqref="A59"/>
    </sheetView>
  </sheetViews>
  <sheetFormatPr defaultColWidth="9.140625" defaultRowHeight="12.75"/>
  <cols>
    <col min="1" max="1" width="12.00390625" style="25" customWidth="1"/>
    <col min="2" max="2" width="15.140625" style="25" bestFit="1" customWidth="1"/>
    <col min="3" max="3" width="8.00390625" style="25" bestFit="1" customWidth="1"/>
    <col min="4" max="4" width="7.00390625" style="25" bestFit="1" customWidth="1"/>
    <col min="5" max="5" width="40.28125" style="25" bestFit="1" customWidth="1"/>
    <col min="6" max="6" width="11.28125" style="25" customWidth="1"/>
    <col min="7" max="7" width="6.57421875" style="25" bestFit="1" customWidth="1"/>
    <col min="8" max="9" width="6.8515625" style="25" bestFit="1" customWidth="1"/>
    <col min="10" max="10" width="6.57421875" style="25" bestFit="1" customWidth="1"/>
    <col min="11" max="11" width="10.28125" style="26" bestFit="1" customWidth="1"/>
    <col min="12" max="12" width="8.00390625" style="25" bestFit="1" customWidth="1"/>
    <col min="13" max="13" width="8.8515625" style="25" bestFit="1" customWidth="1"/>
    <col min="14" max="16384" width="9.140625" style="25" customWidth="1"/>
  </cols>
  <sheetData>
    <row r="1" spans="1:13" ht="12.75">
      <c r="A1" s="35" t="s">
        <v>208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5" t="s">
        <v>209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spans="7:13" ht="12.75">
      <c r="G4" s="38" t="s">
        <v>186</v>
      </c>
      <c r="H4" s="38"/>
      <c r="I4" s="38"/>
      <c r="J4" s="38"/>
      <c r="K4" s="38"/>
      <c r="L4" s="6"/>
      <c r="M4" s="19" t="s">
        <v>272</v>
      </c>
    </row>
    <row r="5" spans="1:13" ht="12.75">
      <c r="A5" s="12" t="s">
        <v>0</v>
      </c>
      <c r="B5" s="12" t="s">
        <v>2</v>
      </c>
      <c r="C5" s="6" t="s">
        <v>82</v>
      </c>
      <c r="D5" s="6" t="s">
        <v>83</v>
      </c>
      <c r="E5" s="12" t="s">
        <v>81</v>
      </c>
      <c r="F5" s="12" t="s">
        <v>1</v>
      </c>
      <c r="G5" s="6" t="s">
        <v>237</v>
      </c>
      <c r="H5" s="6" t="s">
        <v>238</v>
      </c>
      <c r="I5" s="6" t="s">
        <v>239</v>
      </c>
      <c r="J5" s="6" t="s">
        <v>240</v>
      </c>
      <c r="K5" s="6" t="s">
        <v>282</v>
      </c>
      <c r="L5" s="6" t="s">
        <v>278</v>
      </c>
      <c r="M5" s="19" t="s">
        <v>273</v>
      </c>
    </row>
    <row r="6" spans="1:13" ht="12.75">
      <c r="A6" s="27" t="s">
        <v>104</v>
      </c>
      <c r="B6" s="28" t="s">
        <v>105</v>
      </c>
      <c r="C6" s="29">
        <v>3798898</v>
      </c>
      <c r="D6" s="29">
        <v>372478</v>
      </c>
      <c r="E6" s="27" t="s">
        <v>106</v>
      </c>
      <c r="F6" s="26"/>
      <c r="G6" s="30">
        <v>0.106</v>
      </c>
      <c r="H6" s="30">
        <v>0.105</v>
      </c>
      <c r="I6" s="30">
        <v>0.105</v>
      </c>
      <c r="J6" s="30">
        <v>0.101</v>
      </c>
      <c r="K6" s="26">
        <v>0</v>
      </c>
      <c r="L6" s="26">
        <v>238</v>
      </c>
      <c r="M6" s="31">
        <f>L6/247</f>
        <v>0.9635627530364372</v>
      </c>
    </row>
    <row r="7" spans="1:13" ht="12.75">
      <c r="A7" s="27" t="s">
        <v>95</v>
      </c>
      <c r="B7" s="28" t="s">
        <v>7</v>
      </c>
      <c r="C7" s="29">
        <v>3689312</v>
      </c>
      <c r="D7" s="29">
        <v>426614</v>
      </c>
      <c r="E7" s="27" t="s">
        <v>103</v>
      </c>
      <c r="F7" s="26"/>
      <c r="G7" s="30">
        <v>0.113</v>
      </c>
      <c r="H7" s="30">
        <v>0.108</v>
      </c>
      <c r="I7" s="30">
        <v>0.104</v>
      </c>
      <c r="J7" s="30">
        <v>0.104</v>
      </c>
      <c r="K7" s="26">
        <v>0</v>
      </c>
      <c r="L7" s="26">
        <v>208</v>
      </c>
      <c r="M7" s="31">
        <f>L7/246</f>
        <v>0.8455284552845529</v>
      </c>
    </row>
    <row r="8" spans="1:13" ht="12.75">
      <c r="A8" s="27" t="s">
        <v>107</v>
      </c>
      <c r="B8" s="28" t="s">
        <v>108</v>
      </c>
      <c r="C8" s="29">
        <v>3848907</v>
      </c>
      <c r="D8" s="29">
        <v>363630</v>
      </c>
      <c r="E8" s="27" t="s">
        <v>109</v>
      </c>
      <c r="F8" s="26"/>
      <c r="G8" s="30">
        <v>0.126</v>
      </c>
      <c r="H8" s="30">
        <v>0.118</v>
      </c>
      <c r="I8" s="30">
        <v>0.114</v>
      </c>
      <c r="J8" s="30">
        <v>0.113</v>
      </c>
      <c r="K8" s="26">
        <v>1</v>
      </c>
      <c r="L8" s="26">
        <v>330</v>
      </c>
      <c r="M8" s="31">
        <f aca="true" t="shared" si="0" ref="M8:M25">L8/365</f>
        <v>0.9041095890410958</v>
      </c>
    </row>
    <row r="9" spans="1:13" ht="12.75">
      <c r="A9" s="27" t="s">
        <v>96</v>
      </c>
      <c r="B9" s="28" t="s">
        <v>97</v>
      </c>
      <c r="C9" s="29">
        <v>3686698</v>
      </c>
      <c r="D9" s="29">
        <v>456692</v>
      </c>
      <c r="E9" s="27" t="s">
        <v>183</v>
      </c>
      <c r="F9" s="26"/>
      <c r="G9" s="30">
        <v>0.103</v>
      </c>
      <c r="H9" s="30">
        <v>0.098</v>
      </c>
      <c r="I9" s="30">
        <v>0.097</v>
      </c>
      <c r="J9" s="30">
        <v>0.095</v>
      </c>
      <c r="K9" s="26">
        <v>0</v>
      </c>
      <c r="L9" s="26">
        <v>345</v>
      </c>
      <c r="M9" s="31">
        <f t="shared" si="0"/>
        <v>0.9452054794520548</v>
      </c>
    </row>
    <row r="10" spans="1:13" ht="12.75">
      <c r="A10" s="27" t="s">
        <v>110</v>
      </c>
      <c r="B10" s="28" t="s">
        <v>111</v>
      </c>
      <c r="C10" s="29">
        <v>3650181</v>
      </c>
      <c r="D10" s="29">
        <v>599351</v>
      </c>
      <c r="E10" s="27" t="s">
        <v>112</v>
      </c>
      <c r="F10" s="26"/>
      <c r="G10" s="30">
        <v>0.103</v>
      </c>
      <c r="H10" s="30">
        <v>0.099</v>
      </c>
      <c r="I10" s="30">
        <v>0.09</v>
      </c>
      <c r="J10" s="30">
        <v>0.087</v>
      </c>
      <c r="K10" s="26">
        <v>0</v>
      </c>
      <c r="L10" s="26">
        <v>203</v>
      </c>
      <c r="M10" s="31">
        <f>L10/233</f>
        <v>0.871244635193133</v>
      </c>
    </row>
    <row r="11" spans="1:13" ht="12.75">
      <c r="A11" s="27" t="s">
        <v>113</v>
      </c>
      <c r="B11" s="28" t="s">
        <v>18</v>
      </c>
      <c r="C11" s="29">
        <v>3641594</v>
      </c>
      <c r="D11" s="29">
        <v>596762</v>
      </c>
      <c r="E11" s="27" t="s">
        <v>114</v>
      </c>
      <c r="F11" s="26"/>
      <c r="G11" s="30">
        <v>0.109</v>
      </c>
      <c r="H11" s="30">
        <v>0.098</v>
      </c>
      <c r="I11" s="30">
        <v>0.098</v>
      </c>
      <c r="J11" s="30">
        <v>0.097</v>
      </c>
      <c r="K11" s="26">
        <v>0</v>
      </c>
      <c r="L11" s="26">
        <v>353</v>
      </c>
      <c r="M11" s="31">
        <f t="shared" si="0"/>
        <v>0.9671232876712329</v>
      </c>
    </row>
    <row r="12" spans="1:13" ht="12.75">
      <c r="A12" s="27" t="s">
        <v>20</v>
      </c>
      <c r="B12" s="28" t="s">
        <v>18</v>
      </c>
      <c r="C12" s="29">
        <v>3645337</v>
      </c>
      <c r="D12" s="29">
        <v>625554</v>
      </c>
      <c r="E12" s="27" t="s">
        <v>21</v>
      </c>
      <c r="F12" s="26"/>
      <c r="G12" s="30">
        <v>0.104</v>
      </c>
      <c r="H12" s="30">
        <v>0.101</v>
      </c>
      <c r="I12" s="30">
        <v>0.101</v>
      </c>
      <c r="J12" s="30">
        <v>0.098</v>
      </c>
      <c r="K12" s="26">
        <v>0</v>
      </c>
      <c r="L12" s="26">
        <v>300</v>
      </c>
      <c r="M12" s="31">
        <f t="shared" si="0"/>
        <v>0.821917808219178</v>
      </c>
    </row>
    <row r="13" spans="1:13" ht="12.75">
      <c r="A13" s="27" t="s">
        <v>184</v>
      </c>
      <c r="B13" s="28" t="s">
        <v>18</v>
      </c>
      <c r="C13" s="29">
        <v>3645337</v>
      </c>
      <c r="D13" s="29">
        <v>625554</v>
      </c>
      <c r="E13" s="27" t="s">
        <v>21</v>
      </c>
      <c r="F13" s="26"/>
      <c r="G13" s="30">
        <v>0.099</v>
      </c>
      <c r="H13" s="30">
        <v>0.092</v>
      </c>
      <c r="I13" s="30">
        <v>0.083</v>
      </c>
      <c r="J13" s="30">
        <v>0.082</v>
      </c>
      <c r="K13" s="26">
        <v>0</v>
      </c>
      <c r="L13" s="26">
        <v>92</v>
      </c>
      <c r="M13" s="31">
        <f>L13/246</f>
        <v>0.37398373983739835</v>
      </c>
    </row>
    <row r="14" spans="1:13" ht="12.75">
      <c r="A14" s="27" t="s">
        <v>115</v>
      </c>
      <c r="B14" s="28" t="s">
        <v>116</v>
      </c>
      <c r="C14" s="29">
        <v>3887598</v>
      </c>
      <c r="D14" s="29">
        <v>425619</v>
      </c>
      <c r="E14" s="27" t="s">
        <v>200</v>
      </c>
      <c r="F14" s="26"/>
      <c r="G14" s="30">
        <v>0.113</v>
      </c>
      <c r="H14" s="30">
        <v>0.111</v>
      </c>
      <c r="I14" s="30">
        <v>0.104</v>
      </c>
      <c r="J14" s="30">
        <v>0.102</v>
      </c>
      <c r="K14" s="26">
        <v>0</v>
      </c>
      <c r="L14" s="26">
        <v>286</v>
      </c>
      <c r="M14" s="31">
        <f>L14/290</f>
        <v>0.9862068965517241</v>
      </c>
    </row>
    <row r="15" spans="1:13" ht="12.75">
      <c r="A15" s="27" t="s">
        <v>117</v>
      </c>
      <c r="B15" s="28" t="s">
        <v>118</v>
      </c>
      <c r="C15" s="29">
        <v>3849885</v>
      </c>
      <c r="D15" s="29">
        <v>481373</v>
      </c>
      <c r="E15" s="27" t="s">
        <v>119</v>
      </c>
      <c r="F15" s="26"/>
      <c r="G15" s="30">
        <v>0.133</v>
      </c>
      <c r="H15" s="30">
        <v>0.112</v>
      </c>
      <c r="I15" s="30">
        <v>0.112</v>
      </c>
      <c r="J15" s="30">
        <v>0.11</v>
      </c>
      <c r="K15" s="26">
        <v>1</v>
      </c>
      <c r="L15" s="26">
        <v>233</v>
      </c>
      <c r="M15" s="31">
        <f>L15/238</f>
        <v>0.9789915966386554</v>
      </c>
    </row>
    <row r="16" spans="1:13" ht="12.75">
      <c r="A16" s="27" t="s">
        <v>120</v>
      </c>
      <c r="B16" s="28" t="s">
        <v>121</v>
      </c>
      <c r="C16" s="29">
        <v>3651959</v>
      </c>
      <c r="D16" s="29">
        <v>503269</v>
      </c>
      <c r="E16" s="27" t="s">
        <v>122</v>
      </c>
      <c r="F16" s="26"/>
      <c r="G16" s="30">
        <v>0.096</v>
      </c>
      <c r="H16" s="30">
        <v>0.093</v>
      </c>
      <c r="I16" s="30">
        <v>0.091</v>
      </c>
      <c r="J16" s="30">
        <v>0.091</v>
      </c>
      <c r="K16" s="26">
        <v>0</v>
      </c>
      <c r="L16" s="26">
        <v>203</v>
      </c>
      <c r="M16" s="31">
        <f>L16/237</f>
        <v>0.8565400843881856</v>
      </c>
    </row>
    <row r="17" spans="1:13" ht="12.75">
      <c r="A17" s="27" t="s">
        <v>123</v>
      </c>
      <c r="B17" s="28" t="s">
        <v>124</v>
      </c>
      <c r="C17" s="29">
        <v>3794336</v>
      </c>
      <c r="D17" s="29">
        <v>615539</v>
      </c>
      <c r="E17" s="27" t="s">
        <v>201</v>
      </c>
      <c r="F17" s="26"/>
      <c r="G17" s="30">
        <v>0.11</v>
      </c>
      <c r="H17" s="30">
        <v>0.104</v>
      </c>
      <c r="I17" s="30">
        <v>0.104</v>
      </c>
      <c r="J17" s="30">
        <v>0.102</v>
      </c>
      <c r="K17" s="26">
        <v>0</v>
      </c>
      <c r="L17" s="26">
        <v>360</v>
      </c>
      <c r="M17" s="31">
        <f t="shared" si="0"/>
        <v>0.9863013698630136</v>
      </c>
    </row>
    <row r="18" spans="1:13" ht="12.75">
      <c r="A18" s="27" t="s">
        <v>125</v>
      </c>
      <c r="B18" s="28" t="s">
        <v>126</v>
      </c>
      <c r="C18" s="29">
        <v>3733431</v>
      </c>
      <c r="D18" s="29">
        <v>420928</v>
      </c>
      <c r="E18" s="27" t="s">
        <v>127</v>
      </c>
      <c r="F18" s="26"/>
      <c r="G18" s="30">
        <v>0.11</v>
      </c>
      <c r="H18" s="30">
        <v>0.102</v>
      </c>
      <c r="I18" s="30">
        <v>0.097</v>
      </c>
      <c r="J18" s="30">
        <v>0.093</v>
      </c>
      <c r="K18" s="26">
        <v>0</v>
      </c>
      <c r="L18" s="26">
        <v>359</v>
      </c>
      <c r="M18" s="31">
        <f t="shared" si="0"/>
        <v>0.9835616438356164</v>
      </c>
    </row>
    <row r="19" spans="1:13" ht="12.75">
      <c r="A19" s="27" t="s">
        <v>100</v>
      </c>
      <c r="B19" s="28" t="s">
        <v>101</v>
      </c>
      <c r="C19" s="29">
        <v>3853504</v>
      </c>
      <c r="D19" s="29">
        <v>295318</v>
      </c>
      <c r="E19" s="27" t="s">
        <v>202</v>
      </c>
      <c r="F19" s="26"/>
      <c r="G19" s="30">
        <v>0.102</v>
      </c>
      <c r="H19" s="30">
        <v>0.095</v>
      </c>
      <c r="I19" s="30">
        <v>0.092</v>
      </c>
      <c r="J19" s="30">
        <v>0.092</v>
      </c>
      <c r="K19" s="26">
        <v>0</v>
      </c>
      <c r="L19" s="26">
        <v>355</v>
      </c>
      <c r="M19" s="31">
        <f t="shared" si="0"/>
        <v>0.9726027397260274</v>
      </c>
    </row>
    <row r="20" spans="1:13" ht="12.75">
      <c r="A20" s="27" t="s">
        <v>128</v>
      </c>
      <c r="B20" s="28" t="s">
        <v>130</v>
      </c>
      <c r="C20" s="29">
        <v>3835941</v>
      </c>
      <c r="D20" s="29">
        <v>331505</v>
      </c>
      <c r="E20" s="27" t="s">
        <v>203</v>
      </c>
      <c r="F20" s="28" t="s">
        <v>129</v>
      </c>
      <c r="G20" s="30">
        <v>0.114</v>
      </c>
      <c r="H20" s="30">
        <v>0.109</v>
      </c>
      <c r="I20" s="30">
        <v>0.108</v>
      </c>
      <c r="J20" s="30">
        <v>0.108</v>
      </c>
      <c r="K20" s="26">
        <v>0</v>
      </c>
      <c r="L20" s="26">
        <v>190</v>
      </c>
      <c r="M20" s="31">
        <f>L20/239</f>
        <v>0.7949790794979079</v>
      </c>
    </row>
    <row r="21" spans="1:13" ht="12.75">
      <c r="A21" s="27" t="s">
        <v>71</v>
      </c>
      <c r="B21" s="28" t="s">
        <v>70</v>
      </c>
      <c r="C21" s="29">
        <v>3772372</v>
      </c>
      <c r="D21" s="29">
        <v>503485</v>
      </c>
      <c r="E21" s="27" t="s">
        <v>197</v>
      </c>
      <c r="F21" s="28" t="s">
        <v>69</v>
      </c>
      <c r="G21" s="30">
        <v>0.13</v>
      </c>
      <c r="H21" s="30">
        <v>0.117</v>
      </c>
      <c r="I21" s="30">
        <v>0.109</v>
      </c>
      <c r="J21" s="30">
        <v>0.108</v>
      </c>
      <c r="K21" s="26">
        <v>1</v>
      </c>
      <c r="L21" s="26">
        <v>340</v>
      </c>
      <c r="M21" s="31">
        <f t="shared" si="0"/>
        <v>0.9315068493150684</v>
      </c>
    </row>
    <row r="22" spans="1:13" ht="12.75">
      <c r="A22" s="27" t="s">
        <v>131</v>
      </c>
      <c r="B22" s="28" t="s">
        <v>70</v>
      </c>
      <c r="C22" s="29">
        <v>3776444</v>
      </c>
      <c r="D22" s="29">
        <v>511449</v>
      </c>
      <c r="E22" s="27" t="s">
        <v>204</v>
      </c>
      <c r="F22" s="26"/>
      <c r="G22" s="30">
        <v>0.114</v>
      </c>
      <c r="H22" s="30">
        <v>0.112</v>
      </c>
      <c r="I22" s="30">
        <v>0.105</v>
      </c>
      <c r="J22" s="30">
        <v>0.105</v>
      </c>
      <c r="K22" s="26">
        <v>0</v>
      </c>
      <c r="L22" s="26">
        <v>340</v>
      </c>
      <c r="M22" s="31">
        <f t="shared" si="0"/>
        <v>0.9315068493150684</v>
      </c>
    </row>
    <row r="23" spans="1:13" ht="12.75">
      <c r="A23" s="27" t="s">
        <v>73</v>
      </c>
      <c r="B23" s="28" t="s">
        <v>70</v>
      </c>
      <c r="C23" s="29">
        <v>3741587</v>
      </c>
      <c r="D23" s="29">
        <v>516067</v>
      </c>
      <c r="E23" s="27" t="s">
        <v>85</v>
      </c>
      <c r="F23" s="26"/>
      <c r="G23" s="30">
        <v>0.109</v>
      </c>
      <c r="H23" s="30">
        <v>0.106</v>
      </c>
      <c r="I23" s="30">
        <v>0.103</v>
      </c>
      <c r="J23" s="30">
        <v>0.101</v>
      </c>
      <c r="K23" s="26">
        <v>0</v>
      </c>
      <c r="L23" s="26">
        <v>216</v>
      </c>
      <c r="M23" s="31">
        <f>L23/261</f>
        <v>0.8275862068965517</v>
      </c>
    </row>
    <row r="24" spans="1:13" ht="12.75">
      <c r="A24" s="27" t="s">
        <v>132</v>
      </c>
      <c r="B24" s="28" t="s">
        <v>75</v>
      </c>
      <c r="C24" s="29">
        <v>3872111</v>
      </c>
      <c r="D24" s="29">
        <v>401836</v>
      </c>
      <c r="E24" s="27" t="s">
        <v>205</v>
      </c>
      <c r="F24" s="26"/>
      <c r="G24" s="30">
        <v>0.123</v>
      </c>
      <c r="H24" s="30">
        <v>0.122</v>
      </c>
      <c r="I24" s="30">
        <v>0.112</v>
      </c>
      <c r="J24" s="30">
        <v>0.108</v>
      </c>
      <c r="K24" s="26">
        <v>0</v>
      </c>
      <c r="L24" s="26">
        <v>282</v>
      </c>
      <c r="M24" s="31">
        <f>L24/313</f>
        <v>0.9009584664536742</v>
      </c>
    </row>
    <row r="25" spans="1:13" ht="12.75">
      <c r="A25" s="27" t="s">
        <v>133</v>
      </c>
      <c r="B25" s="28" t="s">
        <v>134</v>
      </c>
      <c r="C25" s="29">
        <v>3821887</v>
      </c>
      <c r="D25" s="29">
        <v>448587</v>
      </c>
      <c r="E25" s="27" t="s">
        <v>135</v>
      </c>
      <c r="F25" s="26"/>
      <c r="G25" s="30">
        <v>0.116</v>
      </c>
      <c r="H25" s="30">
        <v>0.099</v>
      </c>
      <c r="I25" s="30">
        <v>0.099</v>
      </c>
      <c r="J25" s="30">
        <v>0.096</v>
      </c>
      <c r="K25" s="26">
        <v>0</v>
      </c>
      <c r="L25" s="26">
        <v>362</v>
      </c>
      <c r="M25" s="31">
        <f t="shared" si="0"/>
        <v>0.9917808219178083</v>
      </c>
    </row>
    <row r="26" spans="1:13" ht="12.75">
      <c r="A26" s="27" t="s">
        <v>136</v>
      </c>
      <c r="B26" s="28" t="s">
        <v>207</v>
      </c>
      <c r="C26" s="29">
        <v>3732242</v>
      </c>
      <c r="D26" s="29">
        <v>632955</v>
      </c>
      <c r="E26" s="27" t="s">
        <v>137</v>
      </c>
      <c r="F26" s="26"/>
      <c r="G26" s="30">
        <v>0.097</v>
      </c>
      <c r="H26" s="30">
        <v>0.089</v>
      </c>
      <c r="I26" s="30">
        <v>0.089</v>
      </c>
      <c r="J26" s="30">
        <v>0.085</v>
      </c>
      <c r="K26" s="26">
        <v>0</v>
      </c>
      <c r="L26" s="26">
        <v>212</v>
      </c>
      <c r="M26" s="31">
        <f>L26/240</f>
        <v>0.8833333333333333</v>
      </c>
    </row>
    <row r="27" spans="1:13" ht="12.75">
      <c r="A27" s="27" t="s">
        <v>138</v>
      </c>
      <c r="B27" s="28" t="s">
        <v>79</v>
      </c>
      <c r="C27" s="29">
        <v>3865723</v>
      </c>
      <c r="D27" s="29">
        <v>479147</v>
      </c>
      <c r="E27" s="27" t="s">
        <v>206</v>
      </c>
      <c r="F27" s="26"/>
      <c r="G27" s="30">
        <v>0.114</v>
      </c>
      <c r="H27" s="30">
        <v>0.107</v>
      </c>
      <c r="I27" s="30">
        <v>0.104</v>
      </c>
      <c r="J27" s="30">
        <v>0.102</v>
      </c>
      <c r="K27" s="26">
        <v>0</v>
      </c>
      <c r="L27" s="26">
        <v>231</v>
      </c>
      <c r="M27" s="31">
        <f>L27/253</f>
        <v>0.9130434782608695</v>
      </c>
    </row>
    <row r="28" spans="1:13" ht="12.75">
      <c r="A28" s="25" t="s">
        <v>275</v>
      </c>
      <c r="M28" s="32">
        <f>AVERAGE(M6:M27)</f>
        <v>0.8923443256240268</v>
      </c>
    </row>
    <row r="29" ht="12.75">
      <c r="A29" s="25" t="s">
        <v>252</v>
      </c>
    </row>
    <row r="31" spans="1:13" ht="12.75">
      <c r="A31" s="35" t="s">
        <v>279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3" spans="7:13" ht="12.75">
      <c r="G33" s="38" t="s">
        <v>280</v>
      </c>
      <c r="H33" s="38"/>
      <c r="I33" s="38"/>
      <c r="J33" s="38"/>
      <c r="K33" s="38"/>
      <c r="L33" s="6"/>
      <c r="M33" s="19" t="s">
        <v>272</v>
      </c>
    </row>
    <row r="34" spans="1:13" ht="12.75">
      <c r="A34" s="12" t="s">
        <v>0</v>
      </c>
      <c r="B34" s="12" t="s">
        <v>2</v>
      </c>
      <c r="C34" s="6" t="s">
        <v>82</v>
      </c>
      <c r="D34" s="6" t="s">
        <v>83</v>
      </c>
      <c r="E34" s="12" t="s">
        <v>81</v>
      </c>
      <c r="F34" s="12" t="s">
        <v>1</v>
      </c>
      <c r="G34" s="6" t="s">
        <v>237</v>
      </c>
      <c r="H34" s="6" t="s">
        <v>238</v>
      </c>
      <c r="I34" s="6" t="s">
        <v>239</v>
      </c>
      <c r="J34" s="6" t="s">
        <v>240</v>
      </c>
      <c r="K34" s="6" t="s">
        <v>281</v>
      </c>
      <c r="L34" s="6" t="s">
        <v>278</v>
      </c>
      <c r="M34" s="19" t="s">
        <v>273</v>
      </c>
    </row>
    <row r="35" spans="1:13" ht="12.75">
      <c r="A35" s="27" t="s">
        <v>104</v>
      </c>
      <c r="B35" s="28" t="s">
        <v>105</v>
      </c>
      <c r="C35" s="29">
        <v>3798898</v>
      </c>
      <c r="D35" s="29">
        <v>372478</v>
      </c>
      <c r="E35" s="27" t="s">
        <v>106</v>
      </c>
      <c r="F35" s="26"/>
      <c r="G35" s="30">
        <v>0.1</v>
      </c>
      <c r="H35" s="30">
        <v>0.094</v>
      </c>
      <c r="I35" s="30">
        <v>0.092</v>
      </c>
      <c r="J35" s="30">
        <v>0.09</v>
      </c>
      <c r="K35" s="26">
        <v>8</v>
      </c>
      <c r="L35" s="26">
        <v>5666</v>
      </c>
      <c r="M35" s="31">
        <f>L35/5928</f>
        <v>0.9558029689608637</v>
      </c>
    </row>
    <row r="36" spans="1:13" ht="12.75">
      <c r="A36" s="27" t="s">
        <v>95</v>
      </c>
      <c r="B36" s="28" t="s">
        <v>7</v>
      </c>
      <c r="C36" s="29">
        <v>3689312</v>
      </c>
      <c r="D36" s="29">
        <v>426614</v>
      </c>
      <c r="E36" s="27" t="s">
        <v>103</v>
      </c>
      <c r="F36" s="26"/>
      <c r="G36" s="30">
        <v>0.101</v>
      </c>
      <c r="H36" s="30">
        <v>0.095</v>
      </c>
      <c r="I36" s="30">
        <v>0.087</v>
      </c>
      <c r="J36" s="30">
        <v>0.084</v>
      </c>
      <c r="K36" s="26">
        <v>3</v>
      </c>
      <c r="L36" s="26">
        <v>5044</v>
      </c>
      <c r="M36" s="31">
        <f>L36/5904</f>
        <v>0.8543360433604336</v>
      </c>
    </row>
    <row r="37" spans="1:13" ht="12.75">
      <c r="A37" s="27" t="s">
        <v>107</v>
      </c>
      <c r="B37" s="28" t="s">
        <v>108</v>
      </c>
      <c r="C37" s="29">
        <v>3848907</v>
      </c>
      <c r="D37" s="29">
        <v>363630</v>
      </c>
      <c r="E37" s="27" t="s">
        <v>109</v>
      </c>
      <c r="F37" s="26"/>
      <c r="G37" s="30">
        <v>0.113</v>
      </c>
      <c r="H37" s="30">
        <v>0.105</v>
      </c>
      <c r="I37" s="30">
        <v>0.102</v>
      </c>
      <c r="J37" s="30">
        <v>0.099</v>
      </c>
      <c r="K37" s="26">
        <v>16</v>
      </c>
      <c r="L37" s="26">
        <v>7939</v>
      </c>
      <c r="M37" s="31">
        <f aca="true" t="shared" si="1" ref="M37:M54">L37/8760</f>
        <v>0.9062785388127854</v>
      </c>
    </row>
    <row r="38" spans="1:13" ht="12.75">
      <c r="A38" s="27" t="s">
        <v>96</v>
      </c>
      <c r="B38" s="28" t="s">
        <v>97</v>
      </c>
      <c r="C38" s="29">
        <v>3686698</v>
      </c>
      <c r="D38" s="29">
        <v>456692</v>
      </c>
      <c r="E38" s="27" t="s">
        <v>183</v>
      </c>
      <c r="F38" s="26"/>
      <c r="G38" s="30">
        <v>0.095</v>
      </c>
      <c r="H38" s="30">
        <v>0.094</v>
      </c>
      <c r="I38" s="30">
        <v>0.088</v>
      </c>
      <c r="J38" s="30">
        <v>0.087</v>
      </c>
      <c r="K38" s="26">
        <v>6</v>
      </c>
      <c r="L38" s="26">
        <v>8344</v>
      </c>
      <c r="M38" s="31">
        <f t="shared" si="1"/>
        <v>0.9525114155251142</v>
      </c>
    </row>
    <row r="39" spans="1:13" ht="12.75">
      <c r="A39" s="27" t="s">
        <v>110</v>
      </c>
      <c r="B39" s="28" t="s">
        <v>111</v>
      </c>
      <c r="C39" s="29">
        <v>3650181</v>
      </c>
      <c r="D39" s="29">
        <v>599351</v>
      </c>
      <c r="E39" s="27" t="s">
        <v>112</v>
      </c>
      <c r="F39" s="26"/>
      <c r="G39" s="30">
        <v>0.089</v>
      </c>
      <c r="H39" s="30">
        <v>0.087</v>
      </c>
      <c r="I39" s="30">
        <v>0.083</v>
      </c>
      <c r="J39" s="30">
        <v>0.081</v>
      </c>
      <c r="K39" s="26">
        <v>2</v>
      </c>
      <c r="L39" s="26">
        <v>5145</v>
      </c>
      <c r="M39" s="31">
        <f>L39/5568</f>
        <v>0.9240301724137931</v>
      </c>
    </row>
    <row r="40" spans="1:13" ht="12.75">
      <c r="A40" s="27" t="s">
        <v>113</v>
      </c>
      <c r="B40" s="28" t="s">
        <v>18</v>
      </c>
      <c r="C40" s="29">
        <v>3641594</v>
      </c>
      <c r="D40" s="29">
        <v>596762</v>
      </c>
      <c r="E40" s="27" t="s">
        <v>114</v>
      </c>
      <c r="F40" s="26"/>
      <c r="G40" s="30">
        <v>0.097</v>
      </c>
      <c r="H40" s="30">
        <v>0.085</v>
      </c>
      <c r="I40" s="30">
        <v>0.084</v>
      </c>
      <c r="J40" s="30">
        <v>0.084</v>
      </c>
      <c r="K40" s="26">
        <v>2</v>
      </c>
      <c r="L40" s="26">
        <v>8556</v>
      </c>
      <c r="M40" s="31">
        <f t="shared" si="1"/>
        <v>0.9767123287671233</v>
      </c>
    </row>
    <row r="41" spans="1:13" ht="12.75">
      <c r="A41" s="27" t="s">
        <v>20</v>
      </c>
      <c r="B41" s="28" t="s">
        <v>18</v>
      </c>
      <c r="C41" s="29">
        <v>3645337</v>
      </c>
      <c r="D41" s="29">
        <v>625554</v>
      </c>
      <c r="E41" s="27" t="s">
        <v>21</v>
      </c>
      <c r="F41" s="26"/>
      <c r="G41" s="30">
        <v>0.086</v>
      </c>
      <c r="H41" s="30">
        <v>0.085</v>
      </c>
      <c r="I41" s="30">
        <v>0.083</v>
      </c>
      <c r="J41" s="30">
        <v>0.08</v>
      </c>
      <c r="K41" s="26">
        <v>2</v>
      </c>
      <c r="L41" s="26">
        <v>7289</v>
      </c>
      <c r="M41" s="31">
        <f t="shared" si="1"/>
        <v>0.8320776255707762</v>
      </c>
    </row>
    <row r="42" spans="1:13" ht="12.75">
      <c r="A42" s="27" t="s">
        <v>184</v>
      </c>
      <c r="B42" s="28" t="s">
        <v>18</v>
      </c>
      <c r="C42" s="29">
        <v>3645337</v>
      </c>
      <c r="D42" s="29">
        <v>625554</v>
      </c>
      <c r="E42" s="27" t="s">
        <v>21</v>
      </c>
      <c r="F42" s="26"/>
      <c r="G42" s="30">
        <v>0.081</v>
      </c>
      <c r="H42" s="30">
        <v>0.08</v>
      </c>
      <c r="I42" s="30">
        <v>0.079</v>
      </c>
      <c r="J42" s="30">
        <v>0.077</v>
      </c>
      <c r="K42" s="26">
        <v>0</v>
      </c>
      <c r="L42" s="26">
        <v>2299</v>
      </c>
      <c r="M42" s="31">
        <f>L42/5904</f>
        <v>0.3893970189701897</v>
      </c>
    </row>
    <row r="43" spans="1:13" ht="12.75">
      <c r="A43" s="27" t="s">
        <v>115</v>
      </c>
      <c r="B43" s="28" t="s">
        <v>116</v>
      </c>
      <c r="C43" s="29">
        <v>3887598</v>
      </c>
      <c r="D43" s="29">
        <v>425619</v>
      </c>
      <c r="E43" s="27" t="s">
        <v>200</v>
      </c>
      <c r="F43" s="26"/>
      <c r="G43" s="30">
        <v>0.103</v>
      </c>
      <c r="H43" s="30">
        <v>0.1</v>
      </c>
      <c r="I43" s="30">
        <v>0.094</v>
      </c>
      <c r="J43" s="30">
        <v>0.094</v>
      </c>
      <c r="K43" s="26">
        <v>9</v>
      </c>
      <c r="L43" s="26">
        <v>6852</v>
      </c>
      <c r="M43" s="31">
        <f>L43/6960</f>
        <v>0.9844827586206897</v>
      </c>
    </row>
    <row r="44" spans="1:13" ht="12.75">
      <c r="A44" s="27" t="s">
        <v>117</v>
      </c>
      <c r="B44" s="28" t="s">
        <v>118</v>
      </c>
      <c r="C44" s="29">
        <v>3849885</v>
      </c>
      <c r="D44" s="29">
        <v>481373</v>
      </c>
      <c r="E44" s="27" t="s">
        <v>119</v>
      </c>
      <c r="F44" s="26"/>
      <c r="G44" s="30">
        <v>0.118</v>
      </c>
      <c r="H44" s="30">
        <v>0.096</v>
      </c>
      <c r="I44" s="30">
        <v>0.095</v>
      </c>
      <c r="J44" s="30">
        <v>0.094</v>
      </c>
      <c r="K44" s="26">
        <v>15</v>
      </c>
      <c r="L44" s="26">
        <v>5572</v>
      </c>
      <c r="M44" s="31">
        <f>L44/5712</f>
        <v>0.9754901960784313</v>
      </c>
    </row>
    <row r="45" spans="1:13" ht="12.75">
      <c r="A45" s="27" t="s">
        <v>120</v>
      </c>
      <c r="B45" s="28" t="s">
        <v>121</v>
      </c>
      <c r="C45" s="29">
        <v>3651959</v>
      </c>
      <c r="D45" s="29">
        <v>503269</v>
      </c>
      <c r="E45" s="27" t="s">
        <v>122</v>
      </c>
      <c r="F45" s="26"/>
      <c r="G45" s="30">
        <v>0.086</v>
      </c>
      <c r="H45" s="30">
        <v>0.084</v>
      </c>
      <c r="I45" s="30">
        <v>0.083</v>
      </c>
      <c r="J45" s="30">
        <v>0.082</v>
      </c>
      <c r="K45" s="26">
        <v>1</v>
      </c>
      <c r="L45" s="26">
        <v>4897</v>
      </c>
      <c r="M45" s="31">
        <f>L45/5688</f>
        <v>0.8609353023909986</v>
      </c>
    </row>
    <row r="46" spans="1:13" ht="12.75">
      <c r="A46" s="27" t="s">
        <v>123</v>
      </c>
      <c r="B46" s="28" t="s">
        <v>124</v>
      </c>
      <c r="C46" s="29">
        <v>3794336</v>
      </c>
      <c r="D46" s="29">
        <v>615539</v>
      </c>
      <c r="E46" s="27" t="s">
        <v>201</v>
      </c>
      <c r="F46" s="26"/>
      <c r="G46" s="30">
        <v>0.094</v>
      </c>
      <c r="H46" s="30">
        <v>0.093</v>
      </c>
      <c r="I46" s="30">
        <v>0.092</v>
      </c>
      <c r="J46" s="30">
        <v>0.091</v>
      </c>
      <c r="K46" s="26">
        <v>11</v>
      </c>
      <c r="L46" s="26">
        <v>8600</v>
      </c>
      <c r="M46" s="31">
        <f t="shared" si="1"/>
        <v>0.9817351598173516</v>
      </c>
    </row>
    <row r="47" spans="1:13" ht="12.75">
      <c r="A47" s="27" t="s">
        <v>125</v>
      </c>
      <c r="B47" s="28" t="s">
        <v>126</v>
      </c>
      <c r="C47" s="29">
        <v>3733431</v>
      </c>
      <c r="D47" s="29">
        <v>420928</v>
      </c>
      <c r="E47" s="27" t="s">
        <v>127</v>
      </c>
      <c r="F47" s="26"/>
      <c r="G47" s="30">
        <v>0.099</v>
      </c>
      <c r="H47" s="30">
        <v>0.092</v>
      </c>
      <c r="I47" s="30">
        <v>0.087</v>
      </c>
      <c r="J47" s="30">
        <v>0.086</v>
      </c>
      <c r="K47" s="26">
        <v>5</v>
      </c>
      <c r="L47" s="26">
        <v>8624</v>
      </c>
      <c r="M47" s="31">
        <f t="shared" si="1"/>
        <v>0.9844748858447488</v>
      </c>
    </row>
    <row r="48" spans="1:13" ht="12.75">
      <c r="A48" s="27" t="s">
        <v>100</v>
      </c>
      <c r="B48" s="28" t="s">
        <v>101</v>
      </c>
      <c r="C48" s="29">
        <v>3853504</v>
      </c>
      <c r="D48" s="29">
        <v>295318</v>
      </c>
      <c r="E48" s="27" t="s">
        <v>202</v>
      </c>
      <c r="F48" s="26"/>
      <c r="G48" s="30">
        <v>0.093</v>
      </c>
      <c r="H48" s="30">
        <v>0.088</v>
      </c>
      <c r="I48" s="30">
        <v>0.087</v>
      </c>
      <c r="J48" s="30">
        <v>0.087</v>
      </c>
      <c r="K48" s="26">
        <v>5</v>
      </c>
      <c r="L48" s="26">
        <v>8520</v>
      </c>
      <c r="M48" s="31">
        <f t="shared" si="1"/>
        <v>0.9726027397260274</v>
      </c>
    </row>
    <row r="49" spans="1:13" ht="12.75">
      <c r="A49" s="27" t="s">
        <v>128</v>
      </c>
      <c r="B49" s="28" t="s">
        <v>130</v>
      </c>
      <c r="C49" s="29">
        <v>3835941</v>
      </c>
      <c r="D49" s="29">
        <v>331505</v>
      </c>
      <c r="E49" s="27" t="s">
        <v>203</v>
      </c>
      <c r="F49" s="28" t="s">
        <v>129</v>
      </c>
      <c r="G49" s="30">
        <v>0.104</v>
      </c>
      <c r="H49" s="30">
        <v>0.1</v>
      </c>
      <c r="I49" s="30">
        <v>0.099</v>
      </c>
      <c r="J49" s="30">
        <v>0.094</v>
      </c>
      <c r="K49" s="26">
        <v>10</v>
      </c>
      <c r="L49" s="26">
        <v>4600</v>
      </c>
      <c r="M49" s="31">
        <f>L49/5736</f>
        <v>0.8019525801952581</v>
      </c>
    </row>
    <row r="50" spans="1:13" ht="12.75">
      <c r="A50" s="27" t="s">
        <v>71</v>
      </c>
      <c r="B50" s="28" t="s">
        <v>70</v>
      </c>
      <c r="C50" s="29">
        <v>3772372</v>
      </c>
      <c r="D50" s="29">
        <v>503485</v>
      </c>
      <c r="E50" s="27" t="s">
        <v>197</v>
      </c>
      <c r="F50" s="28" t="s">
        <v>69</v>
      </c>
      <c r="G50" s="30">
        <v>0.097</v>
      </c>
      <c r="H50" s="30">
        <v>0.097</v>
      </c>
      <c r="I50" s="30">
        <v>0.095</v>
      </c>
      <c r="J50" s="30">
        <v>0.094</v>
      </c>
      <c r="K50" s="26">
        <v>10</v>
      </c>
      <c r="L50" s="26">
        <v>8295</v>
      </c>
      <c r="M50" s="31">
        <f t="shared" si="1"/>
        <v>0.946917808219178</v>
      </c>
    </row>
    <row r="51" spans="1:13" ht="12.75">
      <c r="A51" s="27" t="s">
        <v>131</v>
      </c>
      <c r="B51" s="28" t="s">
        <v>70</v>
      </c>
      <c r="C51" s="29">
        <v>3776444</v>
      </c>
      <c r="D51" s="29">
        <v>511449</v>
      </c>
      <c r="E51" s="27" t="s">
        <v>204</v>
      </c>
      <c r="F51" s="26"/>
      <c r="G51" s="30">
        <v>0.102</v>
      </c>
      <c r="H51" s="30">
        <v>0.097</v>
      </c>
      <c r="I51" s="30">
        <v>0.095</v>
      </c>
      <c r="J51" s="30">
        <v>0.093</v>
      </c>
      <c r="K51" s="26">
        <v>9</v>
      </c>
      <c r="L51" s="26">
        <v>8195</v>
      </c>
      <c r="M51" s="31">
        <f t="shared" si="1"/>
        <v>0.9355022831050228</v>
      </c>
    </row>
    <row r="52" spans="1:13" ht="12.75">
      <c r="A52" s="27" t="s">
        <v>73</v>
      </c>
      <c r="B52" s="28" t="s">
        <v>70</v>
      </c>
      <c r="C52" s="29">
        <v>3741587</v>
      </c>
      <c r="D52" s="29">
        <v>516067</v>
      </c>
      <c r="E52" s="27" t="s">
        <v>85</v>
      </c>
      <c r="F52" s="26"/>
      <c r="G52" s="30">
        <v>0.082</v>
      </c>
      <c r="H52" s="30">
        <v>0.081</v>
      </c>
      <c r="I52" s="30">
        <v>0.08</v>
      </c>
      <c r="J52" s="30">
        <v>0.08</v>
      </c>
      <c r="K52" s="26">
        <v>0</v>
      </c>
      <c r="L52" s="26">
        <v>4994</v>
      </c>
      <c r="M52" s="31">
        <f>L52/6264</f>
        <v>0.7972541507024266</v>
      </c>
    </row>
    <row r="53" spans="1:13" ht="12.75">
      <c r="A53" s="27" t="s">
        <v>132</v>
      </c>
      <c r="B53" s="28" t="s">
        <v>75</v>
      </c>
      <c r="C53" s="29">
        <v>3872111</v>
      </c>
      <c r="D53" s="29">
        <v>401836</v>
      </c>
      <c r="E53" s="27" t="s">
        <v>205</v>
      </c>
      <c r="F53" s="26"/>
      <c r="G53" s="30">
        <v>0.11</v>
      </c>
      <c r="H53" s="30">
        <v>0.101</v>
      </c>
      <c r="I53" s="30">
        <v>0.1</v>
      </c>
      <c r="J53" s="30">
        <v>0.1</v>
      </c>
      <c r="K53" s="26">
        <v>11</v>
      </c>
      <c r="L53" s="26">
        <v>6723</v>
      </c>
      <c r="M53" s="31">
        <f>L53/7512</f>
        <v>0.8949680511182109</v>
      </c>
    </row>
    <row r="54" spans="1:13" ht="12.75">
      <c r="A54" s="27" t="s">
        <v>133</v>
      </c>
      <c r="B54" s="28" t="s">
        <v>134</v>
      </c>
      <c r="C54" s="29">
        <v>3821887</v>
      </c>
      <c r="D54" s="29">
        <v>448587</v>
      </c>
      <c r="E54" s="27" t="s">
        <v>135</v>
      </c>
      <c r="F54" s="26"/>
      <c r="G54" s="30">
        <v>0.108</v>
      </c>
      <c r="H54" s="30">
        <v>0.093</v>
      </c>
      <c r="I54" s="30">
        <v>0.088</v>
      </c>
      <c r="J54" s="30">
        <v>0.085</v>
      </c>
      <c r="K54" s="26">
        <v>4</v>
      </c>
      <c r="L54" s="26">
        <v>8642</v>
      </c>
      <c r="M54" s="31">
        <f t="shared" si="1"/>
        <v>0.9865296803652968</v>
      </c>
    </row>
    <row r="55" spans="1:13" ht="12.75">
      <c r="A55" s="27" t="s">
        <v>136</v>
      </c>
      <c r="B55" s="28" t="s">
        <v>207</v>
      </c>
      <c r="C55" s="29">
        <v>3732242</v>
      </c>
      <c r="D55" s="29">
        <v>632955</v>
      </c>
      <c r="E55" s="27" t="s">
        <v>137</v>
      </c>
      <c r="F55" s="26"/>
      <c r="G55" s="30">
        <v>0.085</v>
      </c>
      <c r="H55" s="30">
        <v>0.081</v>
      </c>
      <c r="I55" s="30">
        <v>0.076</v>
      </c>
      <c r="J55" s="30">
        <v>0.076</v>
      </c>
      <c r="K55" s="26">
        <v>1</v>
      </c>
      <c r="L55" s="26">
        <v>5080</v>
      </c>
      <c r="M55" s="31">
        <f>L55/5760</f>
        <v>0.8819444444444444</v>
      </c>
    </row>
    <row r="56" spans="1:13" ht="12.75">
      <c r="A56" s="27" t="s">
        <v>138</v>
      </c>
      <c r="B56" s="28" t="s">
        <v>79</v>
      </c>
      <c r="C56" s="29">
        <v>3865723</v>
      </c>
      <c r="D56" s="29">
        <v>479147</v>
      </c>
      <c r="E56" s="27" t="s">
        <v>206</v>
      </c>
      <c r="F56" s="26"/>
      <c r="G56" s="30">
        <v>0.099</v>
      </c>
      <c r="H56" s="30">
        <v>0.095</v>
      </c>
      <c r="I56" s="30">
        <v>0.095</v>
      </c>
      <c r="J56" s="30">
        <v>0.092</v>
      </c>
      <c r="K56" s="26">
        <v>7</v>
      </c>
      <c r="L56" s="26">
        <v>5595</v>
      </c>
      <c r="M56" s="31">
        <f>L56/6072</f>
        <v>0.9214426877470355</v>
      </c>
    </row>
    <row r="57" spans="1:13" ht="12.75">
      <c r="A57" s="25" t="s">
        <v>275</v>
      </c>
      <c r="M57" s="32">
        <f>AVERAGE(M35:M56)</f>
        <v>0.8962444927616455</v>
      </c>
    </row>
    <row r="58" ht="12.75">
      <c r="A58" s="25" t="s">
        <v>252</v>
      </c>
    </row>
  </sheetData>
  <mergeCells count="5">
    <mergeCell ref="A31:M31"/>
    <mergeCell ref="G33:K33"/>
    <mergeCell ref="G4:K4"/>
    <mergeCell ref="A1:M1"/>
    <mergeCell ref="A2:M2"/>
  </mergeCells>
  <printOptions horizontalCentered="1"/>
  <pageMargins left="0.25" right="0.25" top="0" bottom="0" header="0" footer="0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9">
      <selection activeCell="A28" sqref="A28"/>
    </sheetView>
  </sheetViews>
  <sheetFormatPr defaultColWidth="9.140625" defaultRowHeight="12.75"/>
  <cols>
    <col min="1" max="1" width="12.57421875" style="0" customWidth="1"/>
    <col min="2" max="2" width="15.00390625" style="0" bestFit="1" customWidth="1"/>
    <col min="3" max="3" width="8.00390625" style="0" bestFit="1" customWidth="1"/>
    <col min="4" max="4" width="7.00390625" style="0" bestFit="1" customWidth="1"/>
    <col min="5" max="5" width="31.421875" style="0" bestFit="1" customWidth="1"/>
    <col min="6" max="6" width="20.28125" style="0" bestFit="1" customWidth="1"/>
    <col min="7" max="7" width="6.421875" style="0" bestFit="1" customWidth="1"/>
    <col min="8" max="8" width="8.7109375" style="0" bestFit="1" customWidth="1"/>
    <col min="9" max="10" width="9.00390625" style="0" bestFit="1" customWidth="1"/>
    <col min="11" max="11" width="8.7109375" style="0" bestFit="1" customWidth="1"/>
    <col min="12" max="13" width="9.7109375" style="0" bestFit="1" customWidth="1"/>
  </cols>
  <sheetData>
    <row r="1" spans="1:13" ht="15">
      <c r="A1" s="39" t="s">
        <v>224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5" t="s">
        <v>225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ht="12.75">
      <c r="G4" s="6" t="s">
        <v>139</v>
      </c>
    </row>
    <row r="5" spans="7:14" ht="12.75">
      <c r="G5" s="6" t="s">
        <v>140</v>
      </c>
      <c r="N5" s="19" t="s">
        <v>272</v>
      </c>
    </row>
    <row r="6" spans="1:14" ht="12.75">
      <c r="A6" s="12" t="s">
        <v>0</v>
      </c>
      <c r="B6" s="12" t="s">
        <v>2</v>
      </c>
      <c r="C6" s="6" t="s">
        <v>82</v>
      </c>
      <c r="D6" s="6" t="s">
        <v>83</v>
      </c>
      <c r="E6" s="12" t="s">
        <v>81</v>
      </c>
      <c r="F6" s="12" t="s">
        <v>1</v>
      </c>
      <c r="G6" s="6" t="s">
        <v>5</v>
      </c>
      <c r="H6" s="6" t="s">
        <v>211</v>
      </c>
      <c r="I6" s="6" t="s">
        <v>212</v>
      </c>
      <c r="J6" s="6" t="s">
        <v>213</v>
      </c>
      <c r="K6" s="6" t="s">
        <v>214</v>
      </c>
      <c r="L6" s="6" t="s">
        <v>210</v>
      </c>
      <c r="M6" s="6" t="s">
        <v>192</v>
      </c>
      <c r="N6" s="19" t="s">
        <v>273</v>
      </c>
    </row>
    <row r="7" spans="1:14" ht="12.75">
      <c r="A7" s="1" t="s">
        <v>95</v>
      </c>
      <c r="B7" s="24" t="s">
        <v>7</v>
      </c>
      <c r="C7" s="17">
        <v>3689312</v>
      </c>
      <c r="D7" s="17">
        <v>426614</v>
      </c>
      <c r="E7" s="1" t="s">
        <v>103</v>
      </c>
      <c r="F7" s="2"/>
      <c r="G7" s="2" t="s">
        <v>15</v>
      </c>
      <c r="H7" s="2">
        <v>55</v>
      </c>
      <c r="I7" s="2">
        <v>44</v>
      </c>
      <c r="J7" s="2">
        <v>39</v>
      </c>
      <c r="K7" s="2">
        <v>38</v>
      </c>
      <c r="L7" s="2">
        <v>0</v>
      </c>
      <c r="M7" s="2">
        <v>54</v>
      </c>
      <c r="N7" s="22">
        <f>M7/60</f>
        <v>0.9</v>
      </c>
    </row>
    <row r="8" spans="1:14" ht="12.75">
      <c r="A8" s="1" t="s">
        <v>96</v>
      </c>
      <c r="B8" s="24" t="s">
        <v>97</v>
      </c>
      <c r="C8" s="17">
        <v>3686698</v>
      </c>
      <c r="D8" s="17">
        <v>456692</v>
      </c>
      <c r="E8" s="1" t="s">
        <v>183</v>
      </c>
      <c r="F8" s="2"/>
      <c r="G8" s="2">
        <v>19</v>
      </c>
      <c r="H8" s="2">
        <v>45</v>
      </c>
      <c r="I8" s="2">
        <v>41</v>
      </c>
      <c r="J8" s="2">
        <v>39</v>
      </c>
      <c r="K8" s="2">
        <v>37</v>
      </c>
      <c r="L8" s="2">
        <v>0</v>
      </c>
      <c r="M8" s="2">
        <v>59</v>
      </c>
      <c r="N8" s="22">
        <f aca="true" t="shared" si="0" ref="N8:N27">M8/60</f>
        <v>0.9833333333333333</v>
      </c>
    </row>
    <row r="9" spans="1:14" ht="12.75">
      <c r="A9" s="1" t="s">
        <v>221</v>
      </c>
      <c r="B9" s="24" t="s">
        <v>18</v>
      </c>
      <c r="C9" s="17">
        <v>3638503</v>
      </c>
      <c r="D9" s="17">
        <v>595649</v>
      </c>
      <c r="E9" s="1" t="s">
        <v>19</v>
      </c>
      <c r="F9" s="24" t="s">
        <v>182</v>
      </c>
      <c r="G9" s="2" t="s">
        <v>15</v>
      </c>
      <c r="H9" s="2">
        <v>51</v>
      </c>
      <c r="I9" s="2">
        <v>47</v>
      </c>
      <c r="J9" s="2">
        <v>46</v>
      </c>
      <c r="K9" s="2">
        <v>46</v>
      </c>
      <c r="L9" s="2">
        <v>0</v>
      </c>
      <c r="M9" s="2">
        <v>227</v>
      </c>
      <c r="N9" s="22">
        <f>M9/365</f>
        <v>0.6219178082191781</v>
      </c>
    </row>
    <row r="10" spans="1:14" ht="12.75">
      <c r="A10" s="1" t="s">
        <v>20</v>
      </c>
      <c r="B10" s="24" t="s">
        <v>18</v>
      </c>
      <c r="C10" s="17">
        <v>3645337</v>
      </c>
      <c r="D10" s="17">
        <v>625554</v>
      </c>
      <c r="E10" s="1" t="s">
        <v>21</v>
      </c>
      <c r="F10" s="2"/>
      <c r="G10" s="2" t="s">
        <v>16</v>
      </c>
      <c r="H10" s="2">
        <v>49</v>
      </c>
      <c r="I10" s="2">
        <v>41</v>
      </c>
      <c r="J10" s="2">
        <v>31</v>
      </c>
      <c r="K10" s="2">
        <v>30</v>
      </c>
      <c r="L10" s="2">
        <v>0</v>
      </c>
      <c r="M10" s="2">
        <v>50</v>
      </c>
      <c r="N10" s="22">
        <f t="shared" si="0"/>
        <v>0.8333333333333334</v>
      </c>
    </row>
    <row r="11" spans="1:14" ht="12.75">
      <c r="A11" s="1" t="s">
        <v>22</v>
      </c>
      <c r="B11" s="24" t="s">
        <v>18</v>
      </c>
      <c r="C11" s="17">
        <v>3634157</v>
      </c>
      <c r="D11" s="17">
        <v>598473</v>
      </c>
      <c r="E11" s="1" t="s">
        <v>216</v>
      </c>
      <c r="F11" s="24" t="s">
        <v>182</v>
      </c>
      <c r="G11" s="2">
        <v>21</v>
      </c>
      <c r="H11" s="2">
        <v>54</v>
      </c>
      <c r="I11" s="2">
        <v>44</v>
      </c>
      <c r="J11" s="2">
        <v>38</v>
      </c>
      <c r="K11" s="2">
        <v>36</v>
      </c>
      <c r="L11" s="2">
        <v>0</v>
      </c>
      <c r="M11" s="2">
        <v>53</v>
      </c>
      <c r="N11" s="22">
        <f t="shared" si="0"/>
        <v>0.8833333333333333</v>
      </c>
    </row>
    <row r="12" spans="1:14" ht="12.75">
      <c r="A12" s="1" t="s">
        <v>141</v>
      </c>
      <c r="B12" s="24" t="s">
        <v>142</v>
      </c>
      <c r="C12" s="17">
        <v>3791655</v>
      </c>
      <c r="D12" s="17">
        <v>508081</v>
      </c>
      <c r="E12" s="1" t="s">
        <v>143</v>
      </c>
      <c r="F12" s="2"/>
      <c r="G12" s="2">
        <v>20</v>
      </c>
      <c r="H12" s="2">
        <v>47</v>
      </c>
      <c r="I12" s="2">
        <v>42</v>
      </c>
      <c r="J12" s="2">
        <v>37</v>
      </c>
      <c r="K12" s="2">
        <v>36</v>
      </c>
      <c r="L12" s="2">
        <v>0</v>
      </c>
      <c r="M12" s="2">
        <v>56</v>
      </c>
      <c r="N12" s="22">
        <f t="shared" si="0"/>
        <v>0.9333333333333333</v>
      </c>
    </row>
    <row r="13" spans="1:14" ht="12.75">
      <c r="A13" s="1" t="s">
        <v>144</v>
      </c>
      <c r="B13" s="24" t="s">
        <v>142</v>
      </c>
      <c r="C13" s="17">
        <v>3792767</v>
      </c>
      <c r="D13" s="17">
        <v>511046</v>
      </c>
      <c r="E13" s="1" t="s">
        <v>145</v>
      </c>
      <c r="F13" s="2"/>
      <c r="G13" s="2">
        <v>24</v>
      </c>
      <c r="H13" s="2">
        <v>52</v>
      </c>
      <c r="I13" s="2">
        <v>43</v>
      </c>
      <c r="J13" s="2">
        <v>41</v>
      </c>
      <c r="K13" s="2">
        <v>39</v>
      </c>
      <c r="L13" s="2">
        <v>0</v>
      </c>
      <c r="M13" s="2">
        <v>55</v>
      </c>
      <c r="N13" s="22">
        <f t="shared" si="0"/>
        <v>0.9166666666666666</v>
      </c>
    </row>
    <row r="14" spans="1:14" ht="12.75">
      <c r="A14" s="1" t="s">
        <v>30</v>
      </c>
      <c r="B14" s="24" t="s">
        <v>31</v>
      </c>
      <c r="C14" s="17">
        <v>3693255</v>
      </c>
      <c r="D14" s="17">
        <v>658389</v>
      </c>
      <c r="E14" s="1" t="s">
        <v>32</v>
      </c>
      <c r="F14" s="24" t="s">
        <v>31</v>
      </c>
      <c r="G14" s="2">
        <v>29</v>
      </c>
      <c r="H14" s="2">
        <v>69</v>
      </c>
      <c r="I14" s="2">
        <v>69</v>
      </c>
      <c r="J14" s="2">
        <v>64</v>
      </c>
      <c r="K14" s="2">
        <v>57</v>
      </c>
      <c r="L14" s="2">
        <v>0</v>
      </c>
      <c r="M14" s="2">
        <v>53</v>
      </c>
      <c r="N14" s="22">
        <f t="shared" si="0"/>
        <v>0.8833333333333333</v>
      </c>
    </row>
    <row r="15" spans="1:14" ht="12.75">
      <c r="A15" s="1" t="s">
        <v>220</v>
      </c>
      <c r="B15" s="24" t="s">
        <v>31</v>
      </c>
      <c r="C15" s="17">
        <v>3692520</v>
      </c>
      <c r="D15" s="17">
        <v>658711</v>
      </c>
      <c r="E15" s="1" t="s">
        <v>34</v>
      </c>
      <c r="F15" s="24" t="s">
        <v>31</v>
      </c>
      <c r="G15" s="2">
        <v>32</v>
      </c>
      <c r="H15" s="2">
        <v>79</v>
      </c>
      <c r="I15" s="2">
        <v>77</v>
      </c>
      <c r="J15" s="2">
        <v>70</v>
      </c>
      <c r="K15" s="2">
        <v>66</v>
      </c>
      <c r="L15" s="2">
        <v>0</v>
      </c>
      <c r="M15" s="2">
        <v>330</v>
      </c>
      <c r="N15" s="22">
        <f>M15/365</f>
        <v>0.9041095890410958</v>
      </c>
    </row>
    <row r="16" spans="1:14" ht="12.75">
      <c r="A16" s="1" t="s">
        <v>38</v>
      </c>
      <c r="B16" s="24" t="s">
        <v>31</v>
      </c>
      <c r="C16" s="17">
        <v>3693858</v>
      </c>
      <c r="D16" s="17">
        <v>659490</v>
      </c>
      <c r="E16" s="1" t="s">
        <v>39</v>
      </c>
      <c r="F16" s="24" t="s">
        <v>31</v>
      </c>
      <c r="G16" s="2">
        <v>23</v>
      </c>
      <c r="H16" s="2">
        <v>63</v>
      </c>
      <c r="I16" s="2">
        <v>56</v>
      </c>
      <c r="J16" s="2">
        <v>50</v>
      </c>
      <c r="K16" s="2">
        <v>49</v>
      </c>
      <c r="L16" s="2">
        <v>0</v>
      </c>
      <c r="M16" s="2">
        <v>50</v>
      </c>
      <c r="N16" s="22">
        <f t="shared" si="0"/>
        <v>0.8333333333333334</v>
      </c>
    </row>
    <row r="17" spans="1:14" ht="12.75">
      <c r="A17" s="1" t="s">
        <v>219</v>
      </c>
      <c r="B17" s="24" t="s">
        <v>41</v>
      </c>
      <c r="C17" s="17">
        <v>3859348</v>
      </c>
      <c r="D17" s="17">
        <v>370287</v>
      </c>
      <c r="E17" s="1" t="s">
        <v>217</v>
      </c>
      <c r="F17" s="24" t="s">
        <v>41</v>
      </c>
      <c r="G17" s="2" t="s">
        <v>64</v>
      </c>
      <c r="H17" s="2">
        <v>59</v>
      </c>
      <c r="I17" s="2">
        <v>52</v>
      </c>
      <c r="J17" s="2">
        <v>51</v>
      </c>
      <c r="K17" s="2">
        <v>51</v>
      </c>
      <c r="L17" s="2">
        <v>0</v>
      </c>
      <c r="M17" s="2">
        <v>182</v>
      </c>
      <c r="N17" s="22">
        <f>M17/365</f>
        <v>0.4986301369863014</v>
      </c>
    </row>
    <row r="18" spans="1:14" ht="12.75">
      <c r="A18" s="1" t="s">
        <v>218</v>
      </c>
      <c r="B18" s="24" t="s">
        <v>63</v>
      </c>
      <c r="C18" s="17">
        <v>3738007</v>
      </c>
      <c r="D18" s="17">
        <v>488916</v>
      </c>
      <c r="E18" s="1" t="s">
        <v>249</v>
      </c>
      <c r="F18" s="2"/>
      <c r="G18" s="2" t="s">
        <v>146</v>
      </c>
      <c r="H18" s="2">
        <v>114</v>
      </c>
      <c r="I18" s="2">
        <v>94</v>
      </c>
      <c r="J18" s="2">
        <v>81</v>
      </c>
      <c r="K18" s="2">
        <v>78</v>
      </c>
      <c r="L18" s="2">
        <v>0</v>
      </c>
      <c r="M18" s="2">
        <v>121</v>
      </c>
      <c r="N18" s="22">
        <f>M18/181</f>
        <v>0.6685082872928176</v>
      </c>
    </row>
    <row r="19" spans="1:14" ht="12.75">
      <c r="A19" s="1" t="s">
        <v>62</v>
      </c>
      <c r="B19" s="24" t="s">
        <v>63</v>
      </c>
      <c r="C19" s="17">
        <v>3738007</v>
      </c>
      <c r="D19" s="17">
        <v>488916</v>
      </c>
      <c r="E19" s="1" t="s">
        <v>249</v>
      </c>
      <c r="F19" s="2"/>
      <c r="G19" s="2" t="s">
        <v>147</v>
      </c>
      <c r="H19" s="2">
        <v>41</v>
      </c>
      <c r="I19" s="2">
        <v>37</v>
      </c>
      <c r="J19" s="2">
        <v>34</v>
      </c>
      <c r="K19" s="2">
        <v>32</v>
      </c>
      <c r="L19" s="2">
        <v>0</v>
      </c>
      <c r="M19" s="2">
        <v>28</v>
      </c>
      <c r="N19" s="22">
        <f t="shared" si="0"/>
        <v>0.4666666666666667</v>
      </c>
    </row>
    <row r="20" spans="1:14" ht="12.75">
      <c r="A20" s="1" t="s">
        <v>223</v>
      </c>
      <c r="B20" s="24" t="s">
        <v>63</v>
      </c>
      <c r="C20" s="17">
        <v>3759006</v>
      </c>
      <c r="D20" s="17">
        <v>495150</v>
      </c>
      <c r="E20" s="1" t="s">
        <v>148</v>
      </c>
      <c r="F20" s="24" t="s">
        <v>66</v>
      </c>
      <c r="G20" s="2" t="s">
        <v>149</v>
      </c>
      <c r="H20" s="2">
        <v>148</v>
      </c>
      <c r="I20" s="2">
        <v>148</v>
      </c>
      <c r="J20" s="2">
        <v>148</v>
      </c>
      <c r="K20" s="2">
        <v>131</v>
      </c>
      <c r="L20" s="2">
        <v>0</v>
      </c>
      <c r="M20" s="2">
        <v>251</v>
      </c>
      <c r="N20" s="22">
        <f>M20/365</f>
        <v>0.6876712328767123</v>
      </c>
    </row>
    <row r="21" spans="1:14" ht="12.75">
      <c r="A21" s="1" t="s">
        <v>71</v>
      </c>
      <c r="B21" s="24" t="s">
        <v>70</v>
      </c>
      <c r="C21" s="17">
        <v>3772372</v>
      </c>
      <c r="D21" s="17">
        <v>503485</v>
      </c>
      <c r="E21" s="1" t="s">
        <v>243</v>
      </c>
      <c r="F21" s="24" t="s">
        <v>69</v>
      </c>
      <c r="G21" s="2">
        <v>22</v>
      </c>
      <c r="H21" s="2">
        <v>49</v>
      </c>
      <c r="I21" s="2">
        <v>41</v>
      </c>
      <c r="J21" s="2">
        <v>40</v>
      </c>
      <c r="K21" s="2">
        <v>37</v>
      </c>
      <c r="L21" s="2">
        <v>0</v>
      </c>
      <c r="M21" s="2">
        <v>54</v>
      </c>
      <c r="N21" s="22">
        <f t="shared" si="0"/>
        <v>0.9</v>
      </c>
    </row>
    <row r="22" spans="1:14" ht="12.75">
      <c r="A22" s="1" t="s">
        <v>72</v>
      </c>
      <c r="B22" s="24" t="s">
        <v>70</v>
      </c>
      <c r="C22" s="17">
        <v>3760083</v>
      </c>
      <c r="D22" s="17">
        <v>498204</v>
      </c>
      <c r="E22" s="1" t="s">
        <v>244</v>
      </c>
      <c r="F22" s="24" t="s">
        <v>69</v>
      </c>
      <c r="G22" s="2">
        <v>24</v>
      </c>
      <c r="H22" s="2">
        <v>56</v>
      </c>
      <c r="I22" s="2">
        <v>53</v>
      </c>
      <c r="J22" s="2">
        <v>42</v>
      </c>
      <c r="K22" s="2">
        <v>41</v>
      </c>
      <c r="L22" s="2">
        <v>0</v>
      </c>
      <c r="M22" s="2">
        <v>59</v>
      </c>
      <c r="N22" s="22">
        <f t="shared" si="0"/>
        <v>0.9833333333333333</v>
      </c>
    </row>
    <row r="23" spans="1:14" ht="12.75">
      <c r="A23" s="1" t="s">
        <v>222</v>
      </c>
      <c r="B23" s="24" t="s">
        <v>70</v>
      </c>
      <c r="C23" s="17">
        <v>3759991</v>
      </c>
      <c r="D23" s="17">
        <v>496305</v>
      </c>
      <c r="E23" s="1" t="s">
        <v>150</v>
      </c>
      <c r="F23" s="24" t="s">
        <v>69</v>
      </c>
      <c r="G23" s="2" t="s">
        <v>151</v>
      </c>
      <c r="H23" s="2">
        <v>147</v>
      </c>
      <c r="I23" s="2">
        <v>122</v>
      </c>
      <c r="J23" s="2">
        <v>105</v>
      </c>
      <c r="K23" s="2">
        <v>102</v>
      </c>
      <c r="L23" s="2">
        <v>0</v>
      </c>
      <c r="M23" s="2">
        <v>242</v>
      </c>
      <c r="N23" s="22">
        <f>M23/365</f>
        <v>0.663013698630137</v>
      </c>
    </row>
    <row r="24" spans="1:14" ht="12.75">
      <c r="A24" s="1" t="s">
        <v>152</v>
      </c>
      <c r="B24" s="24" t="s">
        <v>70</v>
      </c>
      <c r="C24" s="17">
        <v>3761007</v>
      </c>
      <c r="D24" s="17">
        <v>497794</v>
      </c>
      <c r="E24" s="1" t="s">
        <v>153</v>
      </c>
      <c r="F24" s="24" t="s">
        <v>69</v>
      </c>
      <c r="G24" s="2">
        <v>24</v>
      </c>
      <c r="H24" s="2">
        <v>53</v>
      </c>
      <c r="I24" s="2">
        <v>48</v>
      </c>
      <c r="J24" s="2">
        <v>44</v>
      </c>
      <c r="K24" s="2">
        <v>42</v>
      </c>
      <c r="L24" s="2">
        <v>0</v>
      </c>
      <c r="M24" s="2">
        <v>56</v>
      </c>
      <c r="N24" s="22">
        <f t="shared" si="0"/>
        <v>0.9333333333333333</v>
      </c>
    </row>
    <row r="25" spans="1:14" ht="12.75">
      <c r="A25" s="1" t="s">
        <v>102</v>
      </c>
      <c r="B25" s="24" t="s">
        <v>70</v>
      </c>
      <c r="C25" s="17">
        <v>3764672</v>
      </c>
      <c r="D25" s="17">
        <v>496666</v>
      </c>
      <c r="E25" s="1" t="s">
        <v>154</v>
      </c>
      <c r="F25" s="24" t="s">
        <v>69</v>
      </c>
      <c r="G25" s="2" t="s">
        <v>155</v>
      </c>
      <c r="H25" s="2">
        <v>46</v>
      </c>
      <c r="I25" s="2">
        <v>40</v>
      </c>
      <c r="J25" s="2">
        <v>38</v>
      </c>
      <c r="K25" s="2">
        <v>35</v>
      </c>
      <c r="L25" s="2">
        <v>0</v>
      </c>
      <c r="M25" s="2">
        <v>49</v>
      </c>
      <c r="N25" s="22">
        <f t="shared" si="0"/>
        <v>0.8166666666666667</v>
      </c>
    </row>
    <row r="26" spans="1:14" ht="12.75">
      <c r="A26" s="1" t="s">
        <v>74</v>
      </c>
      <c r="B26" s="24" t="s">
        <v>75</v>
      </c>
      <c r="C26" s="17">
        <v>3867421</v>
      </c>
      <c r="D26" s="17">
        <v>414850</v>
      </c>
      <c r="E26" s="1" t="s">
        <v>76</v>
      </c>
      <c r="F26" s="24" t="s">
        <v>75</v>
      </c>
      <c r="G26" s="2">
        <v>26</v>
      </c>
      <c r="H26" s="2">
        <v>50</v>
      </c>
      <c r="I26" s="2">
        <v>46</v>
      </c>
      <c r="J26" s="2">
        <v>42</v>
      </c>
      <c r="K26" s="2">
        <v>41</v>
      </c>
      <c r="L26" s="2">
        <v>0</v>
      </c>
      <c r="M26" s="2">
        <v>58</v>
      </c>
      <c r="N26" s="22">
        <f t="shared" si="0"/>
        <v>0.9666666666666667</v>
      </c>
    </row>
    <row r="27" spans="1:14" ht="12.75">
      <c r="A27" s="1" t="s">
        <v>77</v>
      </c>
      <c r="B27" s="24" t="s">
        <v>79</v>
      </c>
      <c r="C27" s="17">
        <v>3868718</v>
      </c>
      <c r="D27" s="17">
        <v>499924</v>
      </c>
      <c r="E27" s="1" t="s">
        <v>84</v>
      </c>
      <c r="F27" s="24" t="s">
        <v>78</v>
      </c>
      <c r="G27" s="2">
        <v>26</v>
      </c>
      <c r="H27" s="2">
        <v>53</v>
      </c>
      <c r="I27" s="2">
        <v>49</v>
      </c>
      <c r="J27" s="2">
        <v>48</v>
      </c>
      <c r="K27" s="2">
        <v>46</v>
      </c>
      <c r="L27" s="2">
        <v>0</v>
      </c>
      <c r="M27" s="2">
        <v>57</v>
      </c>
      <c r="N27" s="22">
        <f t="shared" si="0"/>
        <v>0.95</v>
      </c>
    </row>
    <row r="28" spans="1:14" ht="12.75">
      <c r="A28" t="s">
        <v>275</v>
      </c>
      <c r="B28" s="24"/>
      <c r="C28" s="17"/>
      <c r="D28" s="17"/>
      <c r="E28" s="1"/>
      <c r="F28" s="24"/>
      <c r="G28" s="2"/>
      <c r="H28" s="2"/>
      <c r="I28" s="2"/>
      <c r="J28" s="2"/>
      <c r="K28" s="2"/>
      <c r="L28" s="2"/>
      <c r="M28" s="2"/>
      <c r="N28" s="23">
        <f>AVERAGE(N7:N27)</f>
        <v>0.8203420993514082</v>
      </c>
    </row>
    <row r="29" spans="1:7" ht="12.75">
      <c r="A29" s="3" t="s">
        <v>247</v>
      </c>
      <c r="B29" s="1"/>
      <c r="C29" s="1"/>
      <c r="D29" s="1"/>
      <c r="E29" s="1"/>
      <c r="F29" s="1"/>
      <c r="G29" s="1"/>
    </row>
    <row r="30" ht="12.75">
      <c r="A30" t="s">
        <v>215</v>
      </c>
    </row>
  </sheetData>
  <mergeCells count="2">
    <mergeCell ref="A1:M1"/>
    <mergeCell ref="A2:M2"/>
  </mergeCells>
  <printOptions horizontalCentered="1"/>
  <pageMargins left="0.25" right="0.25" top="0.5" bottom="0.5" header="0" footer="0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26">
      <selection activeCell="A26" sqref="A26"/>
    </sheetView>
  </sheetViews>
  <sheetFormatPr defaultColWidth="9.140625" defaultRowHeight="12.75"/>
  <cols>
    <col min="1" max="1" width="14.421875" style="0" customWidth="1"/>
    <col min="2" max="2" width="15.00390625" style="0" bestFit="1" customWidth="1"/>
    <col min="3" max="3" width="8.00390625" style="0" bestFit="1" customWidth="1"/>
    <col min="4" max="4" width="7.00390625" style="0" bestFit="1" customWidth="1"/>
    <col min="5" max="5" width="37.28125" style="0" bestFit="1" customWidth="1"/>
    <col min="6" max="6" width="14.7109375" style="0" bestFit="1" customWidth="1"/>
    <col min="7" max="7" width="6.8515625" style="0" bestFit="1" customWidth="1"/>
    <col min="8" max="8" width="8.57421875" style="0" customWidth="1"/>
    <col min="10" max="10" width="9.421875" style="0" bestFit="1" customWidth="1"/>
    <col min="11" max="11" width="9.28125" style="0" customWidth="1"/>
    <col min="12" max="12" width="8.7109375" style="0" bestFit="1" customWidth="1"/>
    <col min="13" max="13" width="6.28125" style="0" bestFit="1" customWidth="1"/>
    <col min="14" max="14" width="8.8515625" style="0" bestFit="1" customWidth="1"/>
  </cols>
  <sheetData>
    <row r="1" spans="1:13" ht="15">
      <c r="A1" s="39" t="s">
        <v>234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5" t="s">
        <v>233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2.75">
      <c r="N3" s="19" t="s">
        <v>272</v>
      </c>
    </row>
    <row r="4" spans="1:14" ht="12.75">
      <c r="A4" s="12" t="s">
        <v>0</v>
      </c>
      <c r="B4" s="12" t="s">
        <v>2</v>
      </c>
      <c r="C4" s="6" t="s">
        <v>82</v>
      </c>
      <c r="D4" s="6" t="s">
        <v>83</v>
      </c>
      <c r="E4" s="12" t="s">
        <v>81</v>
      </c>
      <c r="F4" s="12" t="s">
        <v>1</v>
      </c>
      <c r="G4" s="6" t="s">
        <v>5</v>
      </c>
      <c r="H4" s="6" t="s">
        <v>211</v>
      </c>
      <c r="I4" s="6" t="s">
        <v>212</v>
      </c>
      <c r="J4" s="6" t="s">
        <v>213</v>
      </c>
      <c r="K4" s="6" t="s">
        <v>214</v>
      </c>
      <c r="L4" s="6" t="s">
        <v>235</v>
      </c>
      <c r="M4" s="6" t="s">
        <v>192</v>
      </c>
      <c r="N4" s="19" t="s">
        <v>273</v>
      </c>
    </row>
    <row r="5" spans="1:14" ht="12.75">
      <c r="A5" s="1" t="s">
        <v>13</v>
      </c>
      <c r="B5" s="24" t="s">
        <v>11</v>
      </c>
      <c r="C5" s="17">
        <v>3588470</v>
      </c>
      <c r="D5" s="17">
        <v>530355</v>
      </c>
      <c r="E5" s="1" t="s">
        <v>14</v>
      </c>
      <c r="F5" s="24" t="s">
        <v>11</v>
      </c>
      <c r="G5" s="13" t="s">
        <v>256</v>
      </c>
      <c r="H5" s="13">
        <v>39.8</v>
      </c>
      <c r="I5" s="13">
        <v>39.2</v>
      </c>
      <c r="J5" s="13">
        <v>39.1</v>
      </c>
      <c r="K5" s="13">
        <v>32.2</v>
      </c>
      <c r="L5" s="2">
        <v>0</v>
      </c>
      <c r="M5" s="2">
        <v>75</v>
      </c>
      <c r="N5" s="22">
        <f>M5/94</f>
        <v>0.7978723404255319</v>
      </c>
    </row>
    <row r="6" spans="1:14" ht="12.75">
      <c r="A6" s="1" t="s">
        <v>20</v>
      </c>
      <c r="B6" s="24" t="s">
        <v>18</v>
      </c>
      <c r="C6" s="17">
        <v>3645337</v>
      </c>
      <c r="D6" s="17">
        <v>625554</v>
      </c>
      <c r="E6" s="1" t="s">
        <v>21</v>
      </c>
      <c r="F6" s="2"/>
      <c r="G6" s="13">
        <v>11.6</v>
      </c>
      <c r="H6" s="13">
        <v>38.5</v>
      </c>
      <c r="I6" s="13">
        <v>34.6</v>
      </c>
      <c r="J6" s="13">
        <v>33.7</v>
      </c>
      <c r="K6" s="13">
        <v>28.2</v>
      </c>
      <c r="L6" s="2">
        <v>0</v>
      </c>
      <c r="M6" s="2">
        <v>105</v>
      </c>
      <c r="N6" s="22">
        <f>M6/121</f>
        <v>0.8677685950413223</v>
      </c>
    </row>
    <row r="7" spans="1:14" ht="12.75">
      <c r="A7" s="1" t="s">
        <v>156</v>
      </c>
      <c r="B7" s="24" t="s">
        <v>18</v>
      </c>
      <c r="C7" s="17">
        <v>3649274</v>
      </c>
      <c r="D7" s="17">
        <v>587347</v>
      </c>
      <c r="E7" s="1" t="s">
        <v>226</v>
      </c>
      <c r="F7" s="24" t="s">
        <v>18</v>
      </c>
      <c r="G7" s="13" t="s">
        <v>257</v>
      </c>
      <c r="H7" s="13">
        <v>37.5</v>
      </c>
      <c r="I7" s="13">
        <v>36.9</v>
      </c>
      <c r="J7" s="13">
        <v>35.9</v>
      </c>
      <c r="K7" s="13">
        <v>34.7</v>
      </c>
      <c r="L7" s="2">
        <v>0</v>
      </c>
      <c r="M7" s="2">
        <v>239</v>
      </c>
      <c r="N7" s="22">
        <f>M7/261</f>
        <v>0.9157088122605364</v>
      </c>
    </row>
    <row r="8" spans="1:14" ht="12.75">
      <c r="A8" s="1" t="s">
        <v>157</v>
      </c>
      <c r="B8" s="24" t="s">
        <v>18</v>
      </c>
      <c r="C8" s="17">
        <v>3628389</v>
      </c>
      <c r="D8" s="17">
        <v>597515</v>
      </c>
      <c r="E8" s="1" t="s">
        <v>227</v>
      </c>
      <c r="F8" s="24" t="s">
        <v>18</v>
      </c>
      <c r="G8" s="13">
        <v>13</v>
      </c>
      <c r="H8" s="13">
        <v>37.9</v>
      </c>
      <c r="I8" s="13">
        <v>36.9</v>
      </c>
      <c r="J8" s="13">
        <v>36.9</v>
      </c>
      <c r="K8" s="13">
        <v>36.7</v>
      </c>
      <c r="L8" s="2">
        <v>0</v>
      </c>
      <c r="M8" s="2">
        <v>323</v>
      </c>
      <c r="N8" s="22">
        <f>M8/365</f>
        <v>0.8849315068493151</v>
      </c>
    </row>
    <row r="9" spans="1:14" ht="12.75">
      <c r="A9" s="1" t="s">
        <v>120</v>
      </c>
      <c r="B9" s="24" t="s">
        <v>121</v>
      </c>
      <c r="C9" s="17">
        <v>3651959</v>
      </c>
      <c r="D9" s="17">
        <v>503269</v>
      </c>
      <c r="E9" s="1" t="s">
        <v>122</v>
      </c>
      <c r="F9" s="2"/>
      <c r="G9" s="13" t="s">
        <v>258</v>
      </c>
      <c r="H9" s="13">
        <v>37.3</v>
      </c>
      <c r="I9" s="13">
        <v>33.7</v>
      </c>
      <c r="J9" s="13">
        <v>27.8</v>
      </c>
      <c r="K9" s="13">
        <v>26.2</v>
      </c>
      <c r="L9" s="2">
        <v>0</v>
      </c>
      <c r="M9" s="2">
        <v>64</v>
      </c>
      <c r="N9" s="22">
        <f>M9/87</f>
        <v>0.735632183908046</v>
      </c>
    </row>
    <row r="10" spans="1:14" ht="12.75">
      <c r="A10" s="1" t="s">
        <v>253</v>
      </c>
      <c r="B10" s="24" t="s">
        <v>121</v>
      </c>
      <c r="C10" s="17">
        <v>3651959</v>
      </c>
      <c r="D10" s="17">
        <v>503269</v>
      </c>
      <c r="E10" s="1" t="s">
        <v>122</v>
      </c>
      <c r="F10" s="2"/>
      <c r="G10" s="13" t="s">
        <v>259</v>
      </c>
      <c r="H10" s="13">
        <v>42</v>
      </c>
      <c r="I10" s="13">
        <v>35.7</v>
      </c>
      <c r="J10" s="13">
        <v>32.1</v>
      </c>
      <c r="K10" s="13">
        <v>30.3</v>
      </c>
      <c r="L10" s="2">
        <v>0</v>
      </c>
      <c r="M10" s="2">
        <v>138</v>
      </c>
      <c r="N10" s="22">
        <f>M10/189</f>
        <v>0.7301587301587301</v>
      </c>
    </row>
    <row r="11" spans="1:14" ht="12.75">
      <c r="A11" s="1" t="s">
        <v>125</v>
      </c>
      <c r="B11" s="24" t="s">
        <v>126</v>
      </c>
      <c r="C11" s="17">
        <v>3733431</v>
      </c>
      <c r="D11" s="17">
        <v>420928</v>
      </c>
      <c r="E11" s="1" t="s">
        <v>127</v>
      </c>
      <c r="F11" s="2"/>
      <c r="G11" s="13" t="s">
        <v>260</v>
      </c>
      <c r="H11" s="13">
        <v>36.3</v>
      </c>
      <c r="I11" s="13">
        <v>34.2</v>
      </c>
      <c r="J11" s="13">
        <v>33.4</v>
      </c>
      <c r="K11" s="13">
        <v>31.1</v>
      </c>
      <c r="L11" s="2">
        <v>0</v>
      </c>
      <c r="M11" s="2">
        <v>76</v>
      </c>
      <c r="N11" s="22">
        <f>M11/82</f>
        <v>0.926829268292683</v>
      </c>
    </row>
    <row r="12" spans="1:14" ht="12.75">
      <c r="A12" s="1" t="s">
        <v>254</v>
      </c>
      <c r="B12" s="24" t="s">
        <v>126</v>
      </c>
      <c r="C12" s="17">
        <v>3733431</v>
      </c>
      <c r="D12" s="17">
        <v>420928</v>
      </c>
      <c r="E12" s="1" t="s">
        <v>127</v>
      </c>
      <c r="F12" s="2"/>
      <c r="G12" s="13" t="s">
        <v>261</v>
      </c>
      <c r="H12" s="13">
        <v>34.7</v>
      </c>
      <c r="I12" s="13">
        <v>34.6</v>
      </c>
      <c r="J12" s="13">
        <v>33.5</v>
      </c>
      <c r="K12" s="13">
        <v>32.7</v>
      </c>
      <c r="L12" s="2">
        <v>0</v>
      </c>
      <c r="M12" s="2">
        <v>147</v>
      </c>
      <c r="N12" s="22">
        <f>M12/212</f>
        <v>0.6933962264150944</v>
      </c>
    </row>
    <row r="13" spans="1:14" ht="12.75">
      <c r="A13" s="1" t="s">
        <v>158</v>
      </c>
      <c r="B13" s="24" t="s">
        <v>28</v>
      </c>
      <c r="C13" s="17">
        <v>3781130</v>
      </c>
      <c r="D13" s="17">
        <v>605971</v>
      </c>
      <c r="E13" s="1" t="s">
        <v>228</v>
      </c>
      <c r="F13" s="24" t="s">
        <v>28</v>
      </c>
      <c r="G13" s="13" t="s">
        <v>262</v>
      </c>
      <c r="H13" s="13">
        <v>35.1</v>
      </c>
      <c r="I13" s="13">
        <v>31.7</v>
      </c>
      <c r="J13" s="13">
        <v>31.2</v>
      </c>
      <c r="K13" s="13">
        <v>29.2</v>
      </c>
      <c r="L13" s="2">
        <v>0</v>
      </c>
      <c r="M13" s="2">
        <v>94</v>
      </c>
      <c r="N13" s="22">
        <f>M13/104</f>
        <v>0.9038461538461539</v>
      </c>
    </row>
    <row r="14" spans="1:14" ht="12.75">
      <c r="A14" s="1" t="s">
        <v>38</v>
      </c>
      <c r="B14" s="24" t="s">
        <v>31</v>
      </c>
      <c r="C14" s="17">
        <v>3693858</v>
      </c>
      <c r="D14" s="17">
        <v>659490</v>
      </c>
      <c r="E14" s="1" t="s">
        <v>39</v>
      </c>
      <c r="F14" s="24" t="s">
        <v>31</v>
      </c>
      <c r="G14" s="13">
        <v>13.4</v>
      </c>
      <c r="H14" s="13">
        <v>40.6</v>
      </c>
      <c r="I14" s="13">
        <v>32.1</v>
      </c>
      <c r="J14" s="13">
        <v>29.9</v>
      </c>
      <c r="K14" s="13">
        <v>29.6</v>
      </c>
      <c r="L14" s="2">
        <v>0</v>
      </c>
      <c r="M14" s="2">
        <v>106</v>
      </c>
      <c r="N14" s="22">
        <f>M14/117</f>
        <v>0.905982905982906</v>
      </c>
    </row>
    <row r="15" spans="1:14" ht="12.75">
      <c r="A15" s="1" t="s">
        <v>159</v>
      </c>
      <c r="B15" s="24" t="s">
        <v>41</v>
      </c>
      <c r="C15" s="17">
        <v>3862420</v>
      </c>
      <c r="D15" s="17">
        <v>380028</v>
      </c>
      <c r="E15" s="1" t="s">
        <v>255</v>
      </c>
      <c r="F15" s="24" t="s">
        <v>160</v>
      </c>
      <c r="G15" s="13" t="s">
        <v>263</v>
      </c>
      <c r="H15" s="13">
        <v>37.5</v>
      </c>
      <c r="I15" s="13">
        <v>37.4</v>
      </c>
      <c r="J15" s="13">
        <v>36.1</v>
      </c>
      <c r="K15" s="13">
        <v>35.7</v>
      </c>
      <c r="L15" s="2">
        <v>0</v>
      </c>
      <c r="M15" s="2">
        <v>200</v>
      </c>
      <c r="N15" s="22">
        <f>M15/215</f>
        <v>0.9302325581395349</v>
      </c>
    </row>
    <row r="16" spans="1:14" ht="12.75">
      <c r="A16" s="1" t="s">
        <v>161</v>
      </c>
      <c r="B16" s="24" t="s">
        <v>47</v>
      </c>
      <c r="C16" s="17">
        <v>3786176</v>
      </c>
      <c r="D16" s="17">
        <v>391936</v>
      </c>
      <c r="E16" s="1" t="s">
        <v>162</v>
      </c>
      <c r="F16" s="2"/>
      <c r="G16" s="13">
        <v>15.7</v>
      </c>
      <c r="H16" s="13">
        <v>36</v>
      </c>
      <c r="I16" s="13">
        <v>34.4</v>
      </c>
      <c r="J16" s="13">
        <v>32.5</v>
      </c>
      <c r="K16" s="13">
        <v>31.1</v>
      </c>
      <c r="L16" s="2">
        <v>0</v>
      </c>
      <c r="M16" s="2">
        <v>102</v>
      </c>
      <c r="N16" s="22">
        <f>M16/121</f>
        <v>0.8429752066115702</v>
      </c>
    </row>
    <row r="17" spans="1:14" ht="12.75">
      <c r="A17" s="1" t="s">
        <v>62</v>
      </c>
      <c r="B17" s="24" t="s">
        <v>63</v>
      </c>
      <c r="C17" s="17">
        <v>3738007</v>
      </c>
      <c r="D17" s="17">
        <v>488916</v>
      </c>
      <c r="E17" s="1" t="s">
        <v>249</v>
      </c>
      <c r="F17" s="2"/>
      <c r="G17" s="13">
        <v>14.81</v>
      </c>
      <c r="H17" s="13">
        <v>40.1</v>
      </c>
      <c r="I17" s="13">
        <v>36.9</v>
      </c>
      <c r="J17" s="13">
        <v>34.6</v>
      </c>
      <c r="K17" s="13">
        <v>33</v>
      </c>
      <c r="L17" s="2">
        <v>0</v>
      </c>
      <c r="M17" s="2">
        <v>115</v>
      </c>
      <c r="N17" s="22">
        <f>M17/121</f>
        <v>0.9504132231404959</v>
      </c>
    </row>
    <row r="18" spans="1:14" ht="12.75">
      <c r="A18" s="1" t="s">
        <v>98</v>
      </c>
      <c r="B18" s="24" t="s">
        <v>63</v>
      </c>
      <c r="C18" s="17">
        <v>3767608</v>
      </c>
      <c r="D18" s="17">
        <v>485720</v>
      </c>
      <c r="E18" s="1" t="s">
        <v>229</v>
      </c>
      <c r="F18" s="24" t="s">
        <v>99</v>
      </c>
      <c r="G18" s="13">
        <v>16.45</v>
      </c>
      <c r="H18" s="13">
        <v>43.2</v>
      </c>
      <c r="I18" s="13">
        <v>38.3</v>
      </c>
      <c r="J18" s="13">
        <v>37</v>
      </c>
      <c r="K18" s="13">
        <v>34.3</v>
      </c>
      <c r="L18" s="2">
        <v>0</v>
      </c>
      <c r="M18" s="2">
        <v>112</v>
      </c>
      <c r="N18" s="22">
        <f>M18/121</f>
        <v>0.9256198347107438</v>
      </c>
    </row>
    <row r="19" spans="1:14" ht="12.75">
      <c r="A19" s="1" t="s">
        <v>223</v>
      </c>
      <c r="B19" s="24" t="s">
        <v>63</v>
      </c>
      <c r="C19" s="17">
        <v>3759006</v>
      </c>
      <c r="D19" s="17">
        <v>495150</v>
      </c>
      <c r="E19" s="1" t="s">
        <v>148</v>
      </c>
      <c r="F19" s="24" t="s">
        <v>66</v>
      </c>
      <c r="G19" s="13" t="s">
        <v>264</v>
      </c>
      <c r="H19" s="13">
        <v>52.6</v>
      </c>
      <c r="I19" s="13">
        <v>49.4</v>
      </c>
      <c r="J19" s="13">
        <v>48.9</v>
      </c>
      <c r="K19" s="13">
        <v>48.7</v>
      </c>
      <c r="L19" s="2">
        <v>0</v>
      </c>
      <c r="M19" s="2">
        <v>200</v>
      </c>
      <c r="N19" s="22">
        <f>M19/229</f>
        <v>0.8733624454148472</v>
      </c>
    </row>
    <row r="20" spans="1:14" ht="12.75">
      <c r="A20" s="1" t="s">
        <v>100</v>
      </c>
      <c r="B20" s="24" t="s">
        <v>101</v>
      </c>
      <c r="C20" s="17">
        <v>3853504</v>
      </c>
      <c r="D20" s="17">
        <v>295318</v>
      </c>
      <c r="E20" s="1" t="s">
        <v>202</v>
      </c>
      <c r="F20" s="2"/>
      <c r="G20" s="13">
        <v>13.42</v>
      </c>
      <c r="H20" s="13">
        <v>33.9</v>
      </c>
      <c r="I20" s="13">
        <v>31.1</v>
      </c>
      <c r="J20" s="13">
        <v>29</v>
      </c>
      <c r="K20" s="13">
        <v>26.9</v>
      </c>
      <c r="L20" s="2">
        <v>0</v>
      </c>
      <c r="M20" s="2">
        <v>94</v>
      </c>
      <c r="N20" s="22">
        <f>M20/121</f>
        <v>0.7768595041322314</v>
      </c>
    </row>
    <row r="21" spans="1:14" ht="12.75">
      <c r="A21" s="1" t="s">
        <v>71</v>
      </c>
      <c r="B21" s="24" t="s">
        <v>70</v>
      </c>
      <c r="C21" s="17">
        <v>3772372</v>
      </c>
      <c r="D21" s="17">
        <v>503485</v>
      </c>
      <c r="E21" s="1" t="s">
        <v>243</v>
      </c>
      <c r="F21" s="24" t="s">
        <v>69</v>
      </c>
      <c r="G21" s="13">
        <v>15.4</v>
      </c>
      <c r="H21" s="13">
        <v>45.5</v>
      </c>
      <c r="I21" s="13">
        <v>36.2</v>
      </c>
      <c r="J21" s="13">
        <v>32.4</v>
      </c>
      <c r="K21" s="13">
        <v>30.2</v>
      </c>
      <c r="L21" s="2">
        <v>0</v>
      </c>
      <c r="M21" s="2">
        <v>99</v>
      </c>
      <c r="N21" s="22">
        <f>M21/121</f>
        <v>0.8181818181818182</v>
      </c>
    </row>
    <row r="22" spans="1:14" ht="12.75">
      <c r="A22" s="1" t="s">
        <v>222</v>
      </c>
      <c r="B22" s="24" t="s">
        <v>70</v>
      </c>
      <c r="C22" s="17">
        <v>3759991</v>
      </c>
      <c r="D22" s="17">
        <v>496305</v>
      </c>
      <c r="E22" s="1" t="s">
        <v>150</v>
      </c>
      <c r="F22" s="24" t="s">
        <v>69</v>
      </c>
      <c r="G22" s="13" t="s">
        <v>265</v>
      </c>
      <c r="H22" s="13">
        <v>37.7</v>
      </c>
      <c r="I22" s="13">
        <v>36.8</v>
      </c>
      <c r="J22" s="13">
        <v>34.6</v>
      </c>
      <c r="K22" s="13">
        <v>32.3</v>
      </c>
      <c r="L22" s="2">
        <v>0</v>
      </c>
      <c r="M22" s="2">
        <v>78</v>
      </c>
      <c r="N22" s="22">
        <f>M22/137</f>
        <v>0.5693430656934306</v>
      </c>
    </row>
    <row r="23" spans="1:14" ht="12.75">
      <c r="A23" s="1" t="s">
        <v>152</v>
      </c>
      <c r="B23" s="24" t="s">
        <v>70</v>
      </c>
      <c r="C23" s="17">
        <v>3761007</v>
      </c>
      <c r="D23" s="17">
        <v>497794</v>
      </c>
      <c r="E23" s="1" t="s">
        <v>153</v>
      </c>
      <c r="F23" s="24" t="s">
        <v>69</v>
      </c>
      <c r="G23" s="13">
        <v>16</v>
      </c>
      <c r="H23" s="13">
        <v>43.2</v>
      </c>
      <c r="I23" s="13">
        <v>38.4</v>
      </c>
      <c r="J23" s="13">
        <v>36.9</v>
      </c>
      <c r="K23" s="13">
        <v>35.4</v>
      </c>
      <c r="L23" s="2">
        <v>0</v>
      </c>
      <c r="M23" s="2">
        <v>115</v>
      </c>
      <c r="N23" s="22">
        <f>M23/121</f>
        <v>0.9504132231404959</v>
      </c>
    </row>
    <row r="24" spans="1:14" ht="12.75">
      <c r="A24" s="1" t="s">
        <v>267</v>
      </c>
      <c r="B24" s="24" t="s">
        <v>75</v>
      </c>
      <c r="C24" s="17">
        <v>3859656</v>
      </c>
      <c r="D24" s="17">
        <v>411757</v>
      </c>
      <c r="E24" s="1" t="s">
        <v>163</v>
      </c>
      <c r="F24" s="2"/>
      <c r="G24" s="13" t="s">
        <v>266</v>
      </c>
      <c r="H24" s="13">
        <v>25.9</v>
      </c>
      <c r="I24" s="13">
        <v>25.2</v>
      </c>
      <c r="J24" s="13">
        <v>21.9</v>
      </c>
      <c r="K24" s="13">
        <v>20.5</v>
      </c>
      <c r="L24" s="2">
        <v>0</v>
      </c>
      <c r="M24" s="2">
        <v>41</v>
      </c>
      <c r="N24" s="22">
        <f>M24/45</f>
        <v>0.9111111111111111</v>
      </c>
    </row>
    <row r="25" spans="1:14" ht="12.75">
      <c r="A25" s="1" t="s">
        <v>232</v>
      </c>
      <c r="B25" s="24" t="s">
        <v>75</v>
      </c>
      <c r="C25" s="17">
        <v>3872111</v>
      </c>
      <c r="D25" s="17">
        <v>401836</v>
      </c>
      <c r="E25" s="1" t="s">
        <v>205</v>
      </c>
      <c r="F25" s="2"/>
      <c r="G25" s="13" t="s">
        <v>261</v>
      </c>
      <c r="H25" s="13">
        <v>32.5</v>
      </c>
      <c r="I25" s="13">
        <v>29.7</v>
      </c>
      <c r="J25" s="13">
        <v>29.7</v>
      </c>
      <c r="K25" s="13">
        <v>27.2</v>
      </c>
      <c r="L25" s="2">
        <v>0</v>
      </c>
      <c r="M25" s="2">
        <v>139</v>
      </c>
      <c r="N25" s="22">
        <f>M25/155</f>
        <v>0.896774193548387</v>
      </c>
    </row>
    <row r="26" spans="1:14" ht="12.75">
      <c r="A26" s="1" t="s">
        <v>164</v>
      </c>
      <c r="B26" s="24" t="s">
        <v>75</v>
      </c>
      <c r="C26" s="17">
        <v>3865174</v>
      </c>
      <c r="D26" s="17">
        <v>408207</v>
      </c>
      <c r="E26" s="1" t="s">
        <v>230</v>
      </c>
      <c r="F26" s="2"/>
      <c r="G26" s="13">
        <v>15.7</v>
      </c>
      <c r="H26" s="13">
        <v>36.8</v>
      </c>
      <c r="I26" s="13">
        <v>35.3</v>
      </c>
      <c r="J26" s="13">
        <v>34.5</v>
      </c>
      <c r="K26" s="13">
        <v>33.9</v>
      </c>
      <c r="L26" s="2">
        <v>0</v>
      </c>
      <c r="M26" s="2">
        <v>324</v>
      </c>
      <c r="N26" s="22">
        <f>M26/365</f>
        <v>0.8876712328767123</v>
      </c>
    </row>
    <row r="27" spans="1:14" ht="12.75">
      <c r="A27" s="1" t="s">
        <v>138</v>
      </c>
      <c r="B27" s="24" t="s">
        <v>79</v>
      </c>
      <c r="C27" s="17">
        <v>3865723</v>
      </c>
      <c r="D27" s="17">
        <v>479147</v>
      </c>
      <c r="E27" s="1" t="s">
        <v>206</v>
      </c>
      <c r="F27" s="2"/>
      <c r="G27" s="13">
        <v>14.3</v>
      </c>
      <c r="H27" s="13">
        <v>38.8</v>
      </c>
      <c r="I27" s="13">
        <v>35.5</v>
      </c>
      <c r="J27" s="13">
        <v>32</v>
      </c>
      <c r="K27" s="13">
        <v>28.9</v>
      </c>
      <c r="L27" s="2">
        <v>0</v>
      </c>
      <c r="M27" s="2">
        <v>89</v>
      </c>
      <c r="N27" s="22">
        <f>M27/121</f>
        <v>0.7355371900826446</v>
      </c>
    </row>
    <row r="28" spans="1:14" ht="12.75">
      <c r="A28" t="s">
        <v>275</v>
      </c>
      <c r="B28" s="24"/>
      <c r="C28" s="17"/>
      <c r="D28" s="17"/>
      <c r="E28" s="1"/>
      <c r="F28" s="2"/>
      <c r="G28" s="13"/>
      <c r="H28" s="13"/>
      <c r="I28" s="13"/>
      <c r="J28" s="13"/>
      <c r="K28" s="13"/>
      <c r="L28" s="2"/>
      <c r="M28" s="2"/>
      <c r="N28" s="23">
        <f>AVERAGE(N5:N27)</f>
        <v>0.844809623041928</v>
      </c>
    </row>
    <row r="29" spans="1:7" ht="12.75">
      <c r="A29" s="3" t="s">
        <v>247</v>
      </c>
      <c r="B29" s="1"/>
      <c r="C29" s="1"/>
      <c r="D29" s="1"/>
      <c r="E29" s="1"/>
      <c r="F29" s="1"/>
      <c r="G29" s="1"/>
    </row>
    <row r="30" spans="1:7" ht="12.75">
      <c r="A30" t="s">
        <v>215</v>
      </c>
      <c r="B30" s="1"/>
      <c r="C30" s="1"/>
      <c r="D30" s="1"/>
      <c r="E30" s="1"/>
      <c r="F30" s="1"/>
      <c r="G30" s="1"/>
    </row>
    <row r="32" ht="12.75">
      <c r="A32" t="s">
        <v>231</v>
      </c>
    </row>
  </sheetData>
  <mergeCells count="2">
    <mergeCell ref="A1:M1"/>
    <mergeCell ref="A2:M2"/>
  </mergeCells>
  <printOptions horizontalCentered="1"/>
  <pageMargins left="0.25" right="0.25" top="0.5" bottom="0.5" header="0" footer="0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workbookViewId="0" topLeftCell="G1">
      <selection activeCell="L26" sqref="L26"/>
    </sheetView>
  </sheetViews>
  <sheetFormatPr defaultColWidth="9.140625" defaultRowHeight="12.75"/>
  <cols>
    <col min="1" max="1" width="11.140625" style="0" bestFit="1" customWidth="1"/>
    <col min="2" max="2" width="13.421875" style="0" bestFit="1" customWidth="1"/>
    <col min="3" max="3" width="8.00390625" style="0" bestFit="1" customWidth="1"/>
    <col min="4" max="4" width="7.00390625" style="0" bestFit="1" customWidth="1"/>
    <col min="5" max="5" width="40.28125" style="0" bestFit="1" customWidth="1"/>
    <col min="6" max="6" width="10.57421875" style="0" bestFit="1" customWidth="1"/>
    <col min="7" max="21" width="6.140625" style="0" bestFit="1" customWidth="1"/>
    <col min="22" max="22" width="10.140625" style="0" bestFit="1" customWidth="1"/>
  </cols>
  <sheetData>
    <row r="1" spans="1:22" ht="15">
      <c r="A1" s="39" t="s">
        <v>276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4" spans="3:22" ht="12.75">
      <c r="C4" s="6"/>
      <c r="D4" s="6"/>
      <c r="E4" s="6"/>
      <c r="F4" s="6"/>
      <c r="G4" s="38" t="s">
        <v>277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6" t="s">
        <v>298</v>
      </c>
    </row>
    <row r="5" spans="1:22" ht="12.75">
      <c r="A5" s="12" t="s">
        <v>0</v>
      </c>
      <c r="B5" s="12" t="s">
        <v>2</v>
      </c>
      <c r="C5" s="6" t="s">
        <v>82</v>
      </c>
      <c r="D5" s="6" t="s">
        <v>83</v>
      </c>
      <c r="E5" s="12" t="s">
        <v>81</v>
      </c>
      <c r="F5" s="12" t="s">
        <v>1</v>
      </c>
      <c r="G5" s="12" t="s">
        <v>283</v>
      </c>
      <c r="H5" s="12" t="s">
        <v>284</v>
      </c>
      <c r="I5" s="12" t="s">
        <v>285</v>
      </c>
      <c r="J5" s="12" t="s">
        <v>286</v>
      </c>
      <c r="K5" s="12" t="s">
        <v>287</v>
      </c>
      <c r="L5" s="12" t="s">
        <v>288</v>
      </c>
      <c r="M5" s="12" t="s">
        <v>289</v>
      </c>
      <c r="N5" s="12" t="s">
        <v>290</v>
      </c>
      <c r="O5" s="12" t="s">
        <v>291</v>
      </c>
      <c r="P5" s="12" t="s">
        <v>292</v>
      </c>
      <c r="Q5" s="12" t="s">
        <v>293</v>
      </c>
      <c r="R5" s="12" t="s">
        <v>294</v>
      </c>
      <c r="S5" s="12" t="s">
        <v>295</v>
      </c>
      <c r="T5" s="12" t="s">
        <v>296</v>
      </c>
      <c r="U5" s="12" t="s">
        <v>297</v>
      </c>
      <c r="V5" s="6" t="s">
        <v>299</v>
      </c>
    </row>
    <row r="6" spans="1:22" ht="12.75">
      <c r="A6" s="1" t="s">
        <v>104</v>
      </c>
      <c r="B6" s="24" t="s">
        <v>105</v>
      </c>
      <c r="C6" s="17">
        <v>3798898</v>
      </c>
      <c r="D6" s="17">
        <v>372478</v>
      </c>
      <c r="E6" s="1" t="s">
        <v>106</v>
      </c>
      <c r="F6" s="2"/>
      <c r="G6" s="7"/>
      <c r="H6" s="7"/>
      <c r="I6" s="7"/>
      <c r="J6" s="7"/>
      <c r="K6" s="7"/>
      <c r="L6" s="7"/>
      <c r="M6" s="7">
        <v>4.27</v>
      </c>
      <c r="N6" s="7">
        <v>4.44</v>
      </c>
      <c r="O6" s="7">
        <v>4.3438185549116834</v>
      </c>
      <c r="P6" s="7">
        <v>4.488048652042264</v>
      </c>
      <c r="Q6" s="7">
        <v>4.573839941921815</v>
      </c>
      <c r="R6" s="7">
        <v>4.47567119969522</v>
      </c>
      <c r="S6" s="7">
        <v>4.559737109332639</v>
      </c>
      <c r="T6" s="7">
        <v>4.523499577509264</v>
      </c>
      <c r="U6" s="7">
        <v>4.28</v>
      </c>
      <c r="V6" s="7">
        <f>AVERAGE(G6:U6)</f>
        <v>4.439401670601431</v>
      </c>
    </row>
    <row r="7" spans="1:22" ht="12.75">
      <c r="A7" s="1" t="s">
        <v>96</v>
      </c>
      <c r="B7" s="24" t="s">
        <v>97</v>
      </c>
      <c r="C7" s="17">
        <v>3686698</v>
      </c>
      <c r="D7" s="17">
        <v>456692</v>
      </c>
      <c r="E7" s="1" t="s">
        <v>183</v>
      </c>
      <c r="F7" s="2"/>
      <c r="G7" s="7"/>
      <c r="H7" s="7"/>
      <c r="I7" s="7"/>
      <c r="J7" s="7"/>
      <c r="K7" s="7">
        <v>4.47</v>
      </c>
      <c r="L7" s="7">
        <v>4.4</v>
      </c>
      <c r="M7" s="7">
        <v>4.35</v>
      </c>
      <c r="N7" s="7">
        <v>4.39</v>
      </c>
      <c r="O7" s="7">
        <v>4.378523243617589</v>
      </c>
      <c r="P7" s="7">
        <v>4.597658270500937</v>
      </c>
      <c r="Q7" s="7">
        <v>4.633083285572477</v>
      </c>
      <c r="R7" s="7">
        <v>4.518120954517004</v>
      </c>
      <c r="S7" s="7">
        <v>4.610320030409231</v>
      </c>
      <c r="T7" s="7">
        <v>4.610951305180707</v>
      </c>
      <c r="U7" s="7">
        <v>4.409071153193323</v>
      </c>
      <c r="V7" s="7">
        <f aca="true" t="shared" si="0" ref="V7:V13">AVERAGE(G7:U7)</f>
        <v>4.487975294817388</v>
      </c>
    </row>
    <row r="8" spans="1:22" ht="12.75">
      <c r="A8" s="1" t="s">
        <v>20</v>
      </c>
      <c r="B8" s="24" t="s">
        <v>18</v>
      </c>
      <c r="C8" s="17">
        <v>3645337</v>
      </c>
      <c r="D8" s="17">
        <v>625554</v>
      </c>
      <c r="E8" s="1" t="s">
        <v>21</v>
      </c>
      <c r="F8" s="2"/>
      <c r="G8" s="7">
        <v>4.59</v>
      </c>
      <c r="H8" s="7">
        <v>4.42</v>
      </c>
      <c r="I8" s="7">
        <v>4.47</v>
      </c>
      <c r="J8" s="7">
        <v>4.39</v>
      </c>
      <c r="K8" s="7">
        <v>4.32</v>
      </c>
      <c r="L8" s="7"/>
      <c r="M8" s="7">
        <v>4.37</v>
      </c>
      <c r="N8" s="7">
        <v>4.43</v>
      </c>
      <c r="O8" s="7">
        <v>4.063249782202393</v>
      </c>
      <c r="P8" s="7">
        <v>4.688707351990743</v>
      </c>
      <c r="Q8" s="7">
        <v>4.460706295120006</v>
      </c>
      <c r="R8" s="7">
        <v>4.565777468622471</v>
      </c>
      <c r="S8" s="7">
        <v>4.572553091405277</v>
      </c>
      <c r="T8" s="7">
        <v>4.607371005919094</v>
      </c>
      <c r="U8" s="7">
        <v>4.414047996527317</v>
      </c>
      <c r="V8" s="7">
        <f t="shared" si="0"/>
        <v>4.45445807084195</v>
      </c>
    </row>
    <row r="9" spans="1:22" ht="12.75">
      <c r="A9" s="1" t="s">
        <v>115</v>
      </c>
      <c r="B9" s="24" t="s">
        <v>116</v>
      </c>
      <c r="C9" s="17">
        <v>3887598</v>
      </c>
      <c r="D9" s="17">
        <v>425619</v>
      </c>
      <c r="E9" s="1" t="s">
        <v>200</v>
      </c>
      <c r="F9" s="2"/>
      <c r="G9" s="7"/>
      <c r="H9" s="7"/>
      <c r="I9" s="7"/>
      <c r="J9" s="7"/>
      <c r="K9" s="7">
        <v>4.37</v>
      </c>
      <c r="L9" s="7">
        <v>4.46</v>
      </c>
      <c r="M9" s="7">
        <v>4.27</v>
      </c>
      <c r="N9" s="7">
        <v>4.3</v>
      </c>
      <c r="O9" s="7">
        <v>4.257611105700706</v>
      </c>
      <c r="P9" s="7">
        <v>4.34801434760023</v>
      </c>
      <c r="Q9" s="7">
        <v>4.4537239199751</v>
      </c>
      <c r="R9" s="7">
        <v>4.371584136585444</v>
      </c>
      <c r="S9" s="7">
        <v>4.407941258545051</v>
      </c>
      <c r="T9" s="7">
        <v>4.375772522685596</v>
      </c>
      <c r="U9" s="7">
        <v>4.15</v>
      </c>
      <c r="V9" s="7">
        <f t="shared" si="0"/>
        <v>4.342240662826557</v>
      </c>
    </row>
    <row r="10" spans="1:22" ht="12.75">
      <c r="A10" s="1" t="s">
        <v>100</v>
      </c>
      <c r="B10" s="24" t="s">
        <v>101</v>
      </c>
      <c r="C10" s="17">
        <v>3853504</v>
      </c>
      <c r="D10" s="17">
        <v>295318</v>
      </c>
      <c r="E10" s="1" t="s">
        <v>202</v>
      </c>
      <c r="F10" s="2"/>
      <c r="G10" s="7">
        <v>4.32</v>
      </c>
      <c r="H10" s="7">
        <v>4.26</v>
      </c>
      <c r="I10" s="7">
        <v>4.29</v>
      </c>
      <c r="J10" s="7">
        <v>4.35</v>
      </c>
      <c r="K10" s="7">
        <v>4.44</v>
      </c>
      <c r="L10" s="7">
        <v>4.38</v>
      </c>
      <c r="M10" s="7">
        <v>4.27</v>
      </c>
      <c r="N10" s="7">
        <v>4.42</v>
      </c>
      <c r="O10" s="7">
        <v>4.279407228793245</v>
      </c>
      <c r="P10" s="7">
        <v>4.507521510259362</v>
      </c>
      <c r="Q10" s="7">
        <v>4.595385354429948</v>
      </c>
      <c r="R10" s="7">
        <v>4.4273692746559306</v>
      </c>
      <c r="S10" s="7">
        <v>4.53237260025153</v>
      </c>
      <c r="T10" s="7">
        <v>4.590850322697619</v>
      </c>
      <c r="U10" s="7">
        <v>4.29</v>
      </c>
      <c r="V10" s="7">
        <f t="shared" si="0"/>
        <v>4.396860419405842</v>
      </c>
    </row>
    <row r="11" spans="1:22" ht="12.75">
      <c r="A11" s="1" t="s">
        <v>71</v>
      </c>
      <c r="B11" s="24" t="s">
        <v>70</v>
      </c>
      <c r="C11" s="17">
        <v>3772372</v>
      </c>
      <c r="D11" s="17">
        <v>503485</v>
      </c>
      <c r="E11" s="1" t="s">
        <v>197</v>
      </c>
      <c r="F11" s="24" t="s">
        <v>69</v>
      </c>
      <c r="G11" s="7"/>
      <c r="H11" s="7"/>
      <c r="I11" s="7"/>
      <c r="J11" s="7">
        <v>4.28</v>
      </c>
      <c r="K11" s="7">
        <v>4.33</v>
      </c>
      <c r="L11" s="7">
        <v>4.38</v>
      </c>
      <c r="M11" s="7">
        <v>4.3</v>
      </c>
      <c r="N11" s="7">
        <v>4.28</v>
      </c>
      <c r="O11" s="7">
        <v>4.281238581740191</v>
      </c>
      <c r="P11" s="7">
        <v>4.544889132825614</v>
      </c>
      <c r="Q11" s="7">
        <v>4.486762450732227</v>
      </c>
      <c r="R11" s="7">
        <v>4.530529176268642</v>
      </c>
      <c r="S11" s="7"/>
      <c r="T11" s="7">
        <v>4.63</v>
      </c>
      <c r="U11" s="7">
        <v>4.37</v>
      </c>
      <c r="V11" s="7">
        <f t="shared" si="0"/>
        <v>4.401219940142425</v>
      </c>
    </row>
    <row r="12" spans="1:22" ht="12.75">
      <c r="A12" s="1" t="s">
        <v>73</v>
      </c>
      <c r="B12" s="24" t="s">
        <v>70</v>
      </c>
      <c r="C12" s="17">
        <v>3741587</v>
      </c>
      <c r="D12" s="17">
        <v>516067</v>
      </c>
      <c r="E12" s="1" t="s">
        <v>85</v>
      </c>
      <c r="F12" s="2"/>
      <c r="G12" s="7">
        <v>4.55</v>
      </c>
      <c r="H12" s="7">
        <v>4.48</v>
      </c>
      <c r="I12" s="7">
        <v>4.37</v>
      </c>
      <c r="J12" s="7">
        <v>4.35</v>
      </c>
      <c r="K12" s="7">
        <v>4.36</v>
      </c>
      <c r="L12" s="7">
        <v>4.36</v>
      </c>
      <c r="M12" s="7">
        <v>4.33</v>
      </c>
      <c r="N12" s="7">
        <v>4.44</v>
      </c>
      <c r="O12" s="7">
        <v>4.264916203004044</v>
      </c>
      <c r="P12" s="7">
        <v>4.592381942328093</v>
      </c>
      <c r="Q12" s="7">
        <v>4.578317652250953</v>
      </c>
      <c r="R12" s="7">
        <v>4.515583794402866</v>
      </c>
      <c r="S12" s="7">
        <v>4.468001844376179</v>
      </c>
      <c r="T12" s="7">
        <v>4.635276399577533</v>
      </c>
      <c r="U12" s="7">
        <v>4.25</v>
      </c>
      <c r="V12" s="7">
        <f t="shared" si="0"/>
        <v>4.436298522395977</v>
      </c>
    </row>
    <row r="13" spans="1:22" ht="12.75">
      <c r="A13" s="1" t="s">
        <v>133</v>
      </c>
      <c r="B13" s="24" t="s">
        <v>134</v>
      </c>
      <c r="C13" s="17">
        <v>3821887</v>
      </c>
      <c r="D13" s="17">
        <v>448587</v>
      </c>
      <c r="E13" s="1" t="s">
        <v>135</v>
      </c>
      <c r="F13" s="2"/>
      <c r="G13" s="7">
        <v>4.36</v>
      </c>
      <c r="H13" s="7">
        <v>4.37</v>
      </c>
      <c r="I13" s="7">
        <v>4.38</v>
      </c>
      <c r="J13" s="7">
        <v>4.12</v>
      </c>
      <c r="K13" s="7">
        <v>4.38</v>
      </c>
      <c r="L13" s="7">
        <v>4.36</v>
      </c>
      <c r="M13" s="7">
        <v>4.36</v>
      </c>
      <c r="N13" s="7">
        <v>4.39</v>
      </c>
      <c r="O13" s="7">
        <v>4.334347629882495</v>
      </c>
      <c r="P13" s="7">
        <v>4.536788119670029</v>
      </c>
      <c r="Q13" s="7">
        <v>4.518054901471306</v>
      </c>
      <c r="R13" s="7">
        <v>4.505626965507822</v>
      </c>
      <c r="S13" s="7">
        <v>4.50072929425347</v>
      </c>
      <c r="T13" s="7">
        <v>4.566960368456389</v>
      </c>
      <c r="U13" s="7">
        <v>4.15</v>
      </c>
      <c r="V13" s="7">
        <f t="shared" si="0"/>
        <v>4.388833818616101</v>
      </c>
    </row>
    <row r="14" spans="1:21" ht="12.75">
      <c r="A14" s="1"/>
      <c r="B14" s="24"/>
      <c r="C14" s="17"/>
      <c r="D14" s="17"/>
      <c r="E14" s="1"/>
      <c r="F14" s="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t="s">
        <v>275</v>
      </c>
      <c r="G15" s="7">
        <f>AVERAGE(G6:G13)</f>
        <v>4.455</v>
      </c>
      <c r="H15" s="7">
        <f aca="true" t="shared" si="1" ref="H15:U15">AVERAGE(H6:H13)</f>
        <v>4.3825</v>
      </c>
      <c r="I15" s="7">
        <f t="shared" si="1"/>
        <v>4.3774999999999995</v>
      </c>
      <c r="J15" s="7">
        <f t="shared" si="1"/>
        <v>4.298</v>
      </c>
      <c r="K15" s="7">
        <f t="shared" si="1"/>
        <v>4.381428571428571</v>
      </c>
      <c r="L15" s="7">
        <f t="shared" si="1"/>
        <v>4.39</v>
      </c>
      <c r="M15" s="7">
        <f t="shared" si="1"/>
        <v>4.3149999999999995</v>
      </c>
      <c r="N15" s="7">
        <f t="shared" si="1"/>
        <v>4.3862499999999995</v>
      </c>
      <c r="O15" s="7">
        <f t="shared" si="1"/>
        <v>4.275389041231544</v>
      </c>
      <c r="P15" s="7">
        <f t="shared" si="1"/>
        <v>4.538001165902159</v>
      </c>
      <c r="Q15" s="7">
        <f t="shared" si="1"/>
        <v>4.53748422518423</v>
      </c>
      <c r="R15" s="7">
        <f t="shared" si="1"/>
        <v>4.488782871281924</v>
      </c>
      <c r="S15" s="7">
        <f t="shared" si="1"/>
        <v>4.52166503265334</v>
      </c>
      <c r="T15" s="7">
        <f t="shared" si="1"/>
        <v>4.567585187753275</v>
      </c>
      <c r="U15" s="7">
        <f t="shared" si="1"/>
        <v>4.28913989371508</v>
      </c>
    </row>
  </sheetData>
  <mergeCells count="2">
    <mergeCell ref="G4:U4"/>
    <mergeCell ref="A1:V1"/>
  </mergeCells>
  <printOptions horizontalCentered="1"/>
  <pageMargins left="0.25" right="0.25" top="0.5" bottom="0.5" header="0" footer="0"/>
  <pageSetup fitToHeight="1" fitToWidth="1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 - DAQA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SUMMARY REPORT</dc:title>
  <dc:subject>SUMMARY FOR EACH DATA PARAMETER</dc:subject>
  <dc:creator>John L. Schrenk</dc:creator>
  <cp:keywords/>
  <dc:description/>
  <cp:lastModifiedBy>John L. Schrenk</cp:lastModifiedBy>
  <cp:lastPrinted>2001-07-12T17:59:00Z</cp:lastPrinted>
  <dcterms:created xsi:type="dcterms:W3CDTF">2000-07-25T17:58:27Z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